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olors1.xml" ContentType="application/vnd.ms-office.chartcolorstyle+xml"/>
  <Override PartName="/xl/charts/colors2.xml" ContentType="application/vnd.ms-office.chartcolorstyle+xml"/>
  <Override PartName="/xl/charts/colors3.xml" ContentType="application/vnd.ms-office.chartcolorstyle+xml"/>
  <Override PartName="/xl/charts/colors4.xml" ContentType="application/vnd.ms-office.chartcolorstyle+xml"/>
  <Override PartName="/xl/charts/colors5.xml" ContentType="application/vnd.ms-office.chartcolorstyle+xml"/>
  <Override PartName="/xl/charts/colors6.xml" ContentType="application/vnd.ms-office.chartcolorstyle+xml"/>
  <Override PartName="/xl/charts/colors7.xml" ContentType="application/vnd.ms-office.chartcolorstyle+xml"/>
  <Override PartName="/xl/charts/colors8.xml" ContentType="application/vnd.ms-office.chartcolorstyle+xml"/>
  <Override PartName="/xl/charts/colors9.xml" ContentType="application/vnd.ms-office.chartcolorstyle+xml"/>
  <Override PartName="/xl/charts/style1.xml" ContentType="application/vnd.ms-office.chartstyle+xml"/>
  <Override PartName="/xl/charts/style2.xml" ContentType="application/vnd.ms-office.chartstyle+xml"/>
  <Override PartName="/xl/charts/style3.xml" ContentType="application/vnd.ms-office.chartstyle+xml"/>
  <Override PartName="/xl/charts/style4.xml" ContentType="application/vnd.ms-office.chartstyle+xml"/>
  <Override PartName="/xl/charts/style5.xml" ContentType="application/vnd.ms-office.chartstyle+xml"/>
  <Override PartName="/xl/charts/style6.xml" ContentType="application/vnd.ms-office.chartstyle+xml"/>
  <Override PartName="/xl/charts/style7.xml" ContentType="application/vnd.ms-office.chartstyle+xml"/>
  <Override PartName="/xl/charts/style8.xml" ContentType="application/vnd.ms-office.chartstyle+xml"/>
  <Override PartName="/xl/charts/style9.xml" ContentType="application/vnd.ms-office.chartstyle+xml"/>
  <Override PartName="/xl/comments1.xml" ContentType="application/vnd.openxmlformats-officedocument.spreadsheetml.comments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metadata.xml" ContentType="application/vnd.openxmlformats-officedocument.spreadsheetml.sheetMetadata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theme/themeOverride1.xml" ContentType="application/vnd.openxmlformats-officedocument.themeOverride+xml"/>
  <Override PartName="/xl/theme/themeOverride2.xml" ContentType="application/vnd.openxmlformats-officedocument.themeOverride+xml"/>
  <Override PartName="/xl/theme/themeOverride3.xml" ContentType="application/vnd.openxmlformats-officedocument.themeOverride+xml"/>
  <Override PartName="/xl/theme/themeOverride4.xml" ContentType="application/vnd.openxmlformats-officedocument.themeOverride+xml"/>
  <Override PartName="/xl/theme/themeOverride5.xml" ContentType="application/vnd.openxmlformats-officedocument.themeOverride+xml"/>
  <Override PartName="/xl/theme/themeOverride6.xml" ContentType="application/vnd.openxmlformats-officedocument.themeOverride+xml"/>
  <Override PartName="/xl/theme/themeOverride7.xml" ContentType="application/vnd.openxmlformats-officedocument.themeOverride+xml"/>
  <Override PartName="/xl/theme/themeOverride8.xml" ContentType="application/vnd.openxmlformats-officedocument.themeOverride+xml"/>
  <Override PartName="/xl/theme/themeOverride9.xml" ContentType="application/vnd.openxmlformats-officedocument.themeOverrid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 tabRatio="659"/>
  </bookViews>
  <sheets>
    <sheet name="1）年度指标达成情况" sheetId="40" r:id="rId1"/>
    <sheet name="2）过程指标（月度绩效）达成情况" sheetId="45" r:id="rId2"/>
    <sheet name="3）过程同比分析" sheetId="27" r:id="rId3"/>
    <sheet name="4）销售拓展部2025年前30客户" sheetId="36" r:id="rId4"/>
    <sheet name="5）销售拓展部近三年销售数据" sheetId="35" r:id="rId5"/>
  </sheets>
  <definedNames>
    <definedName name="_xlnm._FilterDatabase" localSheetId="0" hidden="1">'1）年度指标达成情况'!$A$135:$AD$225</definedName>
    <definedName name="_xlnm._FilterDatabase" localSheetId="3" hidden="1">'4）销售拓展部2025年前30客户'!$A$38:$T$128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86134</author>
    <author>DELL</author>
  </authors>
  <commentList>
    <comment ref="C4" authorId="0">
      <text>
        <r>
          <rPr>
            <b/>
            <sz val="9"/>
            <rFont val="宋体"/>
            <charset val="134"/>
          </rPr>
          <t>86134:</t>
        </r>
        <r>
          <rPr>
            <sz val="9"/>
            <rFont val="宋体"/>
            <charset val="134"/>
          </rPr>
          <t xml:space="preserve">
含NGS客户拜访数量</t>
        </r>
      </text>
    </comment>
    <comment ref="E4" authorId="1">
      <text>
        <r>
          <rPr>
            <b/>
            <sz val="9"/>
            <rFont val="宋体"/>
            <charset val="134"/>
          </rPr>
          <t>DELL:</t>
        </r>
        <r>
          <rPr>
            <sz val="9"/>
            <rFont val="宋体"/>
            <charset val="134"/>
          </rPr>
          <t xml:space="preserve">
含NGS测试单数量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<sst xmlns="http://schemas.openxmlformats.org/spreadsheetml/2006/main" count="1044" uniqueCount="203">
  <si>
    <r>
      <rPr>
        <b/>
        <sz val="24"/>
        <rFont val="微软雅黑"/>
        <charset val="134"/>
      </rPr>
      <t xml:space="preserve">2026年  </t>
    </r>
    <r>
      <rPr>
        <b/>
        <sz val="24"/>
        <color rgb="FF1D40F1"/>
        <rFont val="微软雅黑"/>
        <charset val="134"/>
      </rPr>
      <t>诊断原料销售拓展部</t>
    </r>
    <r>
      <rPr>
        <b/>
        <sz val="24"/>
        <rFont val="微软雅黑"/>
        <charset val="134"/>
      </rPr>
      <t>—目标达成数据看板 —06月</t>
    </r>
  </si>
  <si>
    <t>数据说明：1）ZHBR260202004/ZHBR260520029虚拟，不计入业绩</t>
  </si>
  <si>
    <t>一、部门年度目标每月达成统计表（单位：元）</t>
  </si>
  <si>
    <t>部门</t>
  </si>
  <si>
    <t>月份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</si>
  <si>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</si>
  <si>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</si>
  <si>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</si>
  <si>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</si>
  <si>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</si>
  <si>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</si>
  <si>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</si>
  <si>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</si>
  <si>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</si>
  <si>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</si>
  <si>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</si>
  <si>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</si>
  <si>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年度达成情况</t>
  </si>
  <si>
    <t>诊断原料销售拓展部</t>
  </si>
  <si>
    <t>月度目标</t>
  </si>
  <si>
    <t>实际完成</t>
  </si>
  <si>
    <t>达成率</t>
  </si>
  <si>
    <t>二、个人年度目标达成统计表（单位：元）</t>
  </si>
  <si>
    <t>销售人员</t>
  </si>
  <si>
    <t>冯贤平</t>
  </si>
  <si>
    <t>刘虹晶</t>
  </si>
  <si>
    <t>宋学伟</t>
  </si>
  <si>
    <t>徐卓凡</t>
  </si>
  <si>
    <t>张文蝶</t>
  </si>
  <si>
    <t>路要峰</t>
  </si>
  <si>
    <t>陈溪子</t>
  </si>
  <si>
    <t>陈溪子（承接华西区域）</t>
  </si>
  <si>
    <t>林潇</t>
  </si>
  <si>
    <t>黄文才（承接龙友波）</t>
  </si>
  <si>
    <t>黄文才</t>
  </si>
  <si>
    <t>任鑫（离职）</t>
  </si>
  <si>
    <t>李江辉</t>
  </si>
  <si>
    <t>李江辉（承接华西区域）</t>
  </si>
  <si>
    <t>杨天雄</t>
  </si>
  <si>
    <t>龙友波</t>
  </si>
  <si>
    <t>任鑫</t>
  </si>
  <si>
    <t>三、部门年度客户开发目标达成情况统计表</t>
  </si>
  <si>
    <t>类别</t>
  </si>
  <si>
    <t>KA客户数量</t>
  </si>
  <si>
    <t>NGS客户数量</t>
  </si>
  <si>
    <t>KA客户月度目标</t>
  </si>
  <si>
    <t>KA客户实际完成</t>
  </si>
  <si>
    <t>NGS客户月度目标</t>
  </si>
  <si>
    <t>NGS客户实际完成</t>
  </si>
  <si>
    <t>四、个人年度客户开发目标达成情况统计表</t>
  </si>
  <si>
    <t>黄文才（承接厦门区域）</t>
  </si>
  <si>
    <t>KA客户</t>
  </si>
  <si>
    <t>NGS客户</t>
  </si>
  <si>
    <t>诊断原料销售拓展部月度绩效指标6月份达成情况</t>
  </si>
  <si>
    <t>姓名</t>
  </si>
  <si>
    <t>2026年6月份个人数据看板</t>
  </si>
  <si>
    <t>1、客户拜访数</t>
  </si>
  <si>
    <t>2、测试单发放与反馈数量</t>
  </si>
  <si>
    <t>3、NGS采购单发放数</t>
  </si>
  <si>
    <t>3、销售订单</t>
  </si>
  <si>
    <t>拜访总数</t>
  </si>
  <si>
    <t>NGS客户拜访数</t>
  </si>
  <si>
    <t>发放数</t>
  </si>
  <si>
    <t>NGS测试单数量</t>
  </si>
  <si>
    <t>反馈数</t>
  </si>
  <si>
    <t>反馈率</t>
  </si>
  <si>
    <t>订单数量</t>
  </si>
  <si>
    <t>订单金额</t>
  </si>
  <si>
    <t>合计</t>
  </si>
  <si>
    <t>诊断原料销售拓展部月度订单、销售额 趋势情况-06月</t>
  </si>
  <si>
    <t>一、部门月度测试单发出情况</t>
  </si>
  <si>
    <t>同比</t>
  </si>
  <si>
    <t>环比</t>
  </si>
  <si>
    <t>2026年实绩</t>
  </si>
  <si>
    <t>2025年数据</t>
  </si>
  <si>
    <t>销售员</t>
  </si>
  <si>
    <t>冯贤平-2026年</t>
  </si>
  <si>
    <t>刘虹晶-2026年</t>
  </si>
  <si>
    <t>宋学伟-2026年</t>
  </si>
  <si>
    <t>上海-2026年</t>
  </si>
  <si>
    <t>路要峰-2026年</t>
  </si>
  <si>
    <t>陈溪子-2026年</t>
  </si>
  <si>
    <t>林潇-2026年</t>
  </si>
  <si>
    <t>黄文才（承接厦门区域）-2026年</t>
  </si>
  <si>
    <t>黄文才-2026年</t>
  </si>
  <si>
    <t>任鑫-2026年</t>
  </si>
  <si>
    <t>李江辉-2026年</t>
  </si>
  <si>
    <t>杨天雄-2026年</t>
  </si>
  <si>
    <t>冯贤平-2025年</t>
  </si>
  <si>
    <t>刘虹晶-2025年</t>
  </si>
  <si>
    <t>宋学伟-2025年</t>
  </si>
  <si>
    <t>上海-2025年</t>
  </si>
  <si>
    <t>路要峰-2025年</t>
  </si>
  <si>
    <t>陈溪子-2025年</t>
  </si>
  <si>
    <t>林潇-2025年</t>
  </si>
  <si>
    <t>黄文才（承接厦门区域）-2025年</t>
  </si>
  <si>
    <t>黄文才-2025年</t>
  </si>
  <si>
    <t>任鑫-2025年</t>
  </si>
  <si>
    <t>李江辉-2025年</t>
  </si>
  <si>
    <t>杨天雄-2025年</t>
  </si>
  <si>
    <t>年份</t>
  </si>
  <si>
    <t>2026年</t>
  </si>
  <si>
    <t>2025年</t>
  </si>
  <si>
    <t>销售员（可筛选）</t>
  </si>
  <si>
    <t>二、月度采购单、销售额情况</t>
  </si>
  <si>
    <t>2026年销售额</t>
  </si>
  <si>
    <t>2025销售额</t>
  </si>
  <si>
    <t>2026年订单个数</t>
  </si>
  <si>
    <t>2025订单个数</t>
  </si>
  <si>
    <t>个人月度销售额同比趋势</t>
  </si>
  <si>
    <t>区域销售额</t>
  </si>
  <si>
    <t>大客户部销售部</t>
  </si>
  <si>
    <t>大客户部销售部（2024）</t>
  </si>
  <si>
    <t>同区域2024年数据</t>
  </si>
  <si>
    <t>合计：</t>
  </si>
  <si>
    <t>一、销售拓展部2025年销售额排名前30客户</t>
  </si>
  <si>
    <t>二、2026年1-6月销售额排名前30客户</t>
  </si>
  <si>
    <t>序号</t>
  </si>
  <si>
    <t>集团名称</t>
  </si>
  <si>
    <t>客户名称</t>
  </si>
  <si>
    <t>销售额（元）</t>
  </si>
  <si>
    <t>深圳生科原集团</t>
  </si>
  <si>
    <t>深圳生科原技术有限公司</t>
  </si>
  <si>
    <t>保密客户</t>
  </si>
  <si>
    <t>广州生凌集团</t>
  </si>
  <si>
    <t>广州生凌基因科技有限公司</t>
  </si>
  <si>
    <t>湖南圣测生物科技有限公司</t>
  </si>
  <si>
    <t>英科新创集团</t>
  </si>
  <si>
    <t>英科新创（苏州）生物科技有限公司</t>
  </si>
  <si>
    <t>珠海赛乐奇生物技术股份有限公司</t>
  </si>
  <si>
    <t>青岛嘉智生物技术有限公司</t>
  </si>
  <si>
    <t>冠牧集团</t>
  </si>
  <si>
    <t>湖南冠牧生物科技有限公司</t>
  </si>
  <si>
    <t>广州生凌智造科技有限公司</t>
  </si>
  <si>
    <t>知因集团</t>
  </si>
  <si>
    <t>天津知因生物科技有限公司</t>
  </si>
  <si>
    <t>广州生凌生物科技有限公司</t>
  </si>
  <si>
    <t>九州通集团</t>
  </si>
  <si>
    <t>武汉九泽医疗科技有限公司</t>
  </si>
  <si>
    <t>佰奥长生（深圳）科技有限公司</t>
  </si>
  <si>
    <t>宏微特斯集团</t>
  </si>
  <si>
    <t>江苏宏微特斯医药科技有限公司</t>
  </si>
  <si>
    <t>上海伯杰医疗科技股份有限公司</t>
  </si>
  <si>
    <t>深圳市雅为世纪科技有限公司</t>
  </si>
  <si>
    <t>杭州逸检科技有限公司</t>
  </si>
  <si>
    <t>普利泰集团</t>
  </si>
  <si>
    <t>成都普利泰生物科技有限公司</t>
  </si>
  <si>
    <t>广州易安生物技术有限公司</t>
  </si>
  <si>
    <t>睿丰康生物医药科技（浙江）有限公司</t>
  </si>
  <si>
    <t>青岛立见生物科技有限公司</t>
  </si>
  <si>
    <t>广州达安生物科技有限公司</t>
  </si>
  <si>
    <t>深圳市海泰集团</t>
  </si>
  <si>
    <t>深圳市积光生物科技有限公司</t>
  </si>
  <si>
    <t>英和领源集团</t>
  </si>
  <si>
    <t>北京英和领源生物技术有限公司</t>
  </si>
  <si>
    <t>国测集团</t>
  </si>
  <si>
    <t>湖南国测生物科技有限公司</t>
  </si>
  <si>
    <t>洛阳普泰生物技术有限公司</t>
  </si>
  <si>
    <t>斯马特诊断技术（成都）有限公司</t>
  </si>
  <si>
    <t>水产所集团</t>
  </si>
  <si>
    <t>福建省水产研究所（福建水产病害防治中心）</t>
  </si>
  <si>
    <t>广州悦洋生物技术有限公司</t>
  </si>
  <si>
    <t>北京康润诚业生物科技有限公司</t>
  </si>
  <si>
    <t>海大集团</t>
  </si>
  <si>
    <t>广东海锐生物技术有限公司</t>
  </si>
  <si>
    <t>国药集团</t>
  </si>
  <si>
    <t>上海捷诺生物科技股份有限公司</t>
  </si>
  <si>
    <t>全策（江苏）生物科技有限公司</t>
  </si>
  <si>
    <t>杭州博日科技股份有限公司</t>
  </si>
  <si>
    <t>深圳市博莱恩科技有限公司</t>
  </si>
  <si>
    <t>重庆京因生物科技有限责任公司</t>
  </si>
  <si>
    <t>广州生凌医疗科技有限公司</t>
  </si>
  <si>
    <t>深圳市梓健生物科技有限公司</t>
  </si>
  <si>
    <t>中普康睿河北生物科技有限公司</t>
  </si>
  <si>
    <t>优联瑞康(上海)基因科技有限公司</t>
  </si>
  <si>
    <t>杜建</t>
  </si>
  <si>
    <t>聚光集团</t>
  </si>
  <si>
    <t>杭州聚致生物科技有限公司</t>
  </si>
  <si>
    <t>说明：颜色表示为在2025年采购的基础上2026年有持续采购，一共19家，仅销售额排名前30的客户池中。</t>
  </si>
  <si>
    <t>三、2026年销售额排名前30客户近三年销售情况</t>
  </si>
  <si>
    <t>2024年</t>
  </si>
  <si>
    <t>诊断原料销售拓展部2024-2026年销售额同比数据</t>
  </si>
  <si>
    <t>说明：以下2026年6月份数据截止为6月30日</t>
  </si>
  <si>
    <t>单位：元</t>
  </si>
  <si>
    <t>年份     月份</t>
  </si>
  <si>
    <t>1月份</t>
  </si>
  <si>
    <t>2月份</t>
  </si>
  <si>
    <t>3月份</t>
  </si>
  <si>
    <t>4月份</t>
  </si>
  <si>
    <t>5月份</t>
  </si>
  <si>
    <t>6月份</t>
  </si>
  <si>
    <t>7月份</t>
  </si>
  <si>
    <t>8月份</t>
  </si>
  <si>
    <t>9月份</t>
  </si>
  <si>
    <t>10月份</t>
  </si>
  <si>
    <t>11月份</t>
  </si>
  <si>
    <t>12月份</t>
  </si>
  <si>
    <t>25-26销售额月同比</t>
  </si>
  <si>
    <t>2024-2026年各产品类型销售额同比数据</t>
  </si>
  <si>
    <t>产品类别</t>
  </si>
  <si>
    <t>核酸扩增原料相关产品</t>
  </si>
  <si>
    <t>NGS产品</t>
  </si>
  <si>
    <t>说明：以上数据已剔除售后单，退货以及关联公司之间的数据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</si>
</sst>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_ "/>
    <numFmt numFmtId="178" formatCode="0.00_);[Red]\(0.00\)"/>
    <numFmt numFmtId="179" formatCode="0.00_ "/>
    <numFmt numFmtId="180" formatCode="0.0_ "/>
    <numFmt numFmtId="181" formatCode="0.0_);[Red]\(0.0\)"/>
  </numFmts>
  <fonts count="5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2"/>
      <name val="宋体"/>
      <charset val="134"/>
    </font>
    <font>
      <sz val="11"/>
      <name val="宋体"/>
      <charset val="134"/>
    </font>
    <font>
      <sz val="10"/>
      <color rgb="FFFF0000"/>
      <name val="宋体"/>
      <charset val="134"/>
    </font>
    <font>
      <sz val="12"/>
      <color rgb="FFFF0000"/>
      <name val="宋体"/>
      <charset val="134"/>
    </font>
    <font>
      <sz val="10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134"/>
      <scheme val="minor"/>
    </font>
    <font>
      <sz val="16"/>
      <color theme="1" tint="0.05"/>
      <name val="宋体"/>
      <charset val="134"/>
      <scheme val="minor"/>
    </font>
    <font>
      <sz val="16"/>
      <color rgb="FFFF0000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8"/>
      <name val="微软雅黑"/>
      <charset val="134"/>
    </font>
    <font>
      <b/>
      <sz val="12"/>
      <color theme="0"/>
      <name val="微软雅黑"/>
      <charset val="134"/>
    </font>
    <font>
      <sz val="11"/>
      <color indexed="8"/>
      <name val="微软雅黑"/>
      <charset val="134"/>
    </font>
    <font>
      <sz val="11"/>
      <name val="微软雅黑"/>
      <charset val="134"/>
    </font>
    <font>
      <sz val="14"/>
      <name val="微软雅黑"/>
      <charset val="134"/>
    </font>
    <font>
      <b/>
      <sz val="24"/>
      <name val="微软雅黑"/>
      <charset val="134"/>
    </font>
    <font>
      <b/>
      <sz val="22"/>
      <name val="微软雅黑"/>
      <charset val="134"/>
    </font>
    <font>
      <b/>
      <sz val="26"/>
      <name val="微软雅黑"/>
      <charset val="134"/>
    </font>
    <font>
      <b/>
      <sz val="16"/>
      <name val="微软雅黑"/>
      <charset val="134"/>
    </font>
    <font>
      <sz val="12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4"/>
      <color rgb="FF1D40F1"/>
      <name val="微软雅黑"/>
      <charset val="134"/>
    </font>
    <font>
      <b/>
      <sz val="9"/>
      <name val="宋体"/>
      <charset val="134"/>
    </font>
    <font>
      <sz val="9"/>
      <name val="宋体"/>
      <charset val="134"/>
    </font>
  </fonts>
  <fills count="4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theme="1" tint="0.15"/>
        <bgColor indexed="64"/>
      </patternFill>
    </fill>
    <fill>
      <patternFill patternType="solid">
        <fgColor theme="0" tint="-0.35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2" tint="-0.75"/>
        <bgColor indexed="64"/>
      </patternFill>
    </fill>
    <fill>
      <patternFill patternType="solid">
        <fgColor theme="2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indexed="8"/>
      </left>
      <right style="thin">
        <color auto="1"/>
      </right>
      <top/>
      <bottom/>
      <diagonal/>
    </border>
    <border>
      <left style="thin">
        <color indexed="8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16" borderId="16" applyNumberFormat="0" applyFon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17" borderId="19" applyNumberFormat="0" applyAlignment="0" applyProtection="0">
      <alignment vertical="center"/>
    </xf>
    <xf numFmtId="0" fontId="44" fillId="18" borderId="20" applyNumberFormat="0" applyAlignment="0" applyProtection="0">
      <alignment vertical="center"/>
    </xf>
    <xf numFmtId="0" fontId="45" fillId="18" borderId="19" applyNumberFormat="0" applyAlignment="0" applyProtection="0">
      <alignment vertical="center"/>
    </xf>
    <xf numFmtId="0" fontId="46" fillId="19" borderId="21" applyNumberFormat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3" fillId="27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2" fillId="29" borderId="0" applyNumberFormat="0" applyBorder="0" applyAlignment="0" applyProtection="0">
      <alignment vertical="center"/>
    </xf>
    <xf numFmtId="0" fontId="52" fillId="30" borderId="0" applyNumberFormat="0" applyBorder="0" applyAlignment="0" applyProtection="0">
      <alignment vertical="center"/>
    </xf>
    <xf numFmtId="0" fontId="53" fillId="31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52" fillId="34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3" fillId="39" borderId="0" applyNumberFormat="0" applyBorder="0" applyAlignment="0" applyProtection="0">
      <alignment vertical="center"/>
    </xf>
    <xf numFmtId="0" fontId="53" fillId="40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42" borderId="0" applyNumberFormat="0" applyBorder="0" applyAlignment="0" applyProtection="0">
      <alignment vertical="center"/>
    </xf>
    <xf numFmtId="0" fontId="53" fillId="43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</cellStyleXfs>
  <cellXfs count="24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10" fontId="1" fillId="3" borderId="6" xfId="0" applyNumberFormat="1" applyFont="1" applyFill="1" applyBorder="1" applyAlignment="1">
      <alignment horizontal="center" vertical="center"/>
    </xf>
    <xf numFmtId="10" fontId="1" fillId="4" borderId="6" xfId="0" applyNumberFormat="1" applyFont="1" applyFill="1" applyBorder="1" applyAlignment="1">
      <alignment horizontal="center" vertical="center"/>
    </xf>
    <xf numFmtId="10" fontId="1" fillId="5" borderId="6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/>
    </xf>
    <xf numFmtId="0" fontId="8" fillId="6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 wrapText="1"/>
    </xf>
    <xf numFmtId="0" fontId="0" fillId="6" borderId="10" xfId="0" applyFont="1" applyFill="1" applyBorder="1" applyAlignment="1">
      <alignment horizontal="center" vertical="center" wrapText="1"/>
    </xf>
    <xf numFmtId="0" fontId="0" fillId="6" borderId="11" xfId="0" applyFont="1" applyFill="1" applyBorder="1" applyAlignment="1">
      <alignment horizontal="center" vertical="center" wrapText="1"/>
    </xf>
    <xf numFmtId="0" fontId="0" fillId="6" borderId="3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vertical="center"/>
    </xf>
    <xf numFmtId="0" fontId="6" fillId="0" borderId="0" xfId="0" applyFont="1" applyAlignment="1">
      <alignment horizontal="left" vertical="center"/>
    </xf>
    <xf numFmtId="10" fontId="7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7" fillId="0" borderId="0" xfId="0" applyFont="1" applyFill="1" applyAlignment="1">
      <alignment horizontal="left" vertical="center"/>
    </xf>
    <xf numFmtId="0" fontId="0" fillId="6" borderId="3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10" fontId="10" fillId="8" borderId="3" xfId="0" applyNumberFormat="1" applyFont="1" applyFill="1" applyBorder="1" applyAlignment="1">
      <alignment horizontal="center" vertical="center"/>
    </xf>
    <xf numFmtId="10" fontId="6" fillId="8" borderId="3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 vertical="top" wrapText="1"/>
    </xf>
    <xf numFmtId="0" fontId="13" fillId="0" borderId="0" xfId="0" applyFont="1" applyFill="1" applyAlignment="1">
      <alignment horizontal="left" vertical="top"/>
    </xf>
    <xf numFmtId="0" fontId="14" fillId="0" borderId="0" xfId="0" applyFont="1" applyFill="1" applyAlignment="1">
      <alignment horizontal="left" vertical="top"/>
    </xf>
    <xf numFmtId="0" fontId="0" fillId="0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/>
    <xf numFmtId="0" fontId="11" fillId="0" borderId="0" xfId="0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176" fontId="17" fillId="3" borderId="3" xfId="0" applyNumberFormat="1" applyFont="1" applyFill="1" applyBorder="1" applyAlignment="1">
      <alignment horizontal="center" vertical="center"/>
    </xf>
    <xf numFmtId="176" fontId="11" fillId="6" borderId="3" xfId="0" applyNumberFormat="1" applyFont="1" applyFill="1" applyBorder="1" applyAlignment="1">
      <alignment horizontal="center" vertical="center"/>
    </xf>
    <xf numFmtId="176" fontId="12" fillId="6" borderId="3" xfId="0" applyNumberFormat="1" applyFont="1" applyFill="1" applyBorder="1" applyAlignment="1">
      <alignment horizontal="center" vertical="center"/>
    </xf>
    <xf numFmtId="176" fontId="11" fillId="0" borderId="0" xfId="0" applyNumberFormat="1" applyFont="1" applyFill="1" applyAlignment="1">
      <alignment horizontal="center" vertical="center"/>
    </xf>
    <xf numFmtId="176" fontId="12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11" borderId="0" xfId="0" applyFont="1" applyFill="1" applyAlignment="1">
      <alignment horizontal="center" vertical="center"/>
    </xf>
    <xf numFmtId="177" fontId="19" fillId="0" borderId="0" xfId="0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16" fillId="0" borderId="0" xfId="0" applyFont="1" applyAlignment="1">
      <alignment horizontal="left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178" fontId="0" fillId="0" borderId="3" xfId="0" applyNumberFormat="1" applyFont="1" applyFill="1" applyBorder="1" applyAlignment="1">
      <alignment horizontal="center" vertical="center"/>
    </xf>
    <xf numFmtId="179" fontId="0" fillId="0" borderId="3" xfId="0" applyNumberFormat="1" applyFont="1" applyFill="1" applyBorder="1" applyAlignment="1">
      <alignment horizontal="center" vertical="center"/>
    </xf>
    <xf numFmtId="179" fontId="0" fillId="6" borderId="3" xfId="0" applyNumberFormat="1" applyFont="1" applyFill="1" applyBorder="1" applyAlignment="1">
      <alignment horizontal="center" vertical="center"/>
    </xf>
    <xf numFmtId="0" fontId="0" fillId="6" borderId="3" xfId="0" applyNumberFormat="1" applyFont="1" applyFill="1" applyBorder="1" applyAlignment="1">
      <alignment horizontal="center" vertical="center"/>
    </xf>
    <xf numFmtId="177" fontId="0" fillId="6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176" fontId="11" fillId="3" borderId="3" xfId="0" applyNumberFormat="1" applyFont="1" applyFill="1" applyBorder="1" applyAlignment="1">
      <alignment horizontal="center" vertical="center"/>
    </xf>
    <xf numFmtId="176" fontId="0" fillId="3" borderId="3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177" fontId="12" fillId="0" borderId="0" xfId="0" applyNumberFormat="1" applyFont="1" applyFill="1" applyBorder="1" applyAlignment="1">
      <alignment horizontal="center" vertical="center"/>
    </xf>
    <xf numFmtId="179" fontId="12" fillId="0" borderId="0" xfId="0" applyNumberFormat="1" applyFont="1" applyFill="1" applyBorder="1" applyAlignment="1">
      <alignment horizontal="center" vertical="center"/>
    </xf>
    <xf numFmtId="176" fontId="17" fillId="0" borderId="0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179" fontId="20" fillId="12" borderId="3" xfId="0" applyNumberFormat="1" applyFont="1" applyFill="1" applyBorder="1" applyAlignment="1">
      <alignment horizontal="center" vertical="center" wrapText="1"/>
    </xf>
    <xf numFmtId="0" fontId="21" fillId="12" borderId="3" xfId="0" applyFont="1" applyFill="1" applyBorder="1" applyAlignment="1">
      <alignment horizontal="center" vertical="center"/>
    </xf>
    <xf numFmtId="177" fontId="19" fillId="0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2" fillId="9" borderId="3" xfId="0" applyNumberFormat="1" applyFont="1" applyFill="1" applyBorder="1" applyAlignment="1">
      <alignment horizontal="center" vertical="center" wrapText="1"/>
    </xf>
    <xf numFmtId="0" fontId="22" fillId="0" borderId="3" xfId="0" applyNumberFormat="1" applyFont="1" applyFill="1" applyBorder="1" applyAlignment="1">
      <alignment horizontal="center" vertical="center" wrapText="1"/>
    </xf>
    <xf numFmtId="177" fontId="22" fillId="0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177" fontId="19" fillId="6" borderId="13" xfId="0" applyNumberFormat="1" applyFont="1" applyFill="1" applyBorder="1" applyAlignment="1">
      <alignment horizontal="center" vertical="center" wrapText="1"/>
    </xf>
    <xf numFmtId="0" fontId="22" fillId="6" borderId="14" xfId="0" applyNumberFormat="1" applyFont="1" applyFill="1" applyBorder="1" applyAlignment="1">
      <alignment horizontal="center" vertical="center" wrapText="1"/>
    </xf>
    <xf numFmtId="177" fontId="22" fillId="6" borderId="14" xfId="0" applyNumberFormat="1" applyFont="1" applyFill="1" applyBorder="1" applyAlignment="1">
      <alignment horizontal="center" vertical="center" wrapText="1"/>
    </xf>
    <xf numFmtId="177" fontId="22" fillId="6" borderId="3" xfId="0" applyNumberFormat="1" applyFont="1" applyFill="1" applyBorder="1" applyAlignment="1">
      <alignment horizontal="center" vertical="center" wrapText="1"/>
    </xf>
    <xf numFmtId="0" fontId="23" fillId="6" borderId="3" xfId="0" applyFont="1" applyFill="1" applyBorder="1" applyAlignment="1">
      <alignment horizontal="center" vertical="center"/>
    </xf>
    <xf numFmtId="176" fontId="0" fillId="6" borderId="3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177" fontId="19" fillId="0" borderId="13" xfId="0" applyNumberFormat="1" applyFont="1" applyFill="1" applyBorder="1" applyAlignment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/>
    </xf>
    <xf numFmtId="0" fontId="22" fillId="6" borderId="3" xfId="0" applyNumberFormat="1" applyFont="1" applyFill="1" applyBorder="1" applyAlignment="1">
      <alignment horizontal="center" vertical="center" wrapText="1"/>
    </xf>
    <xf numFmtId="177" fontId="19" fillId="6" borderId="3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>
      <alignment horizontal="center" vertical="center" wrapText="1"/>
    </xf>
    <xf numFmtId="177" fontId="22" fillId="0" borderId="0" xfId="0" applyNumberFormat="1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179" fontId="20" fillId="12" borderId="9" xfId="0" applyNumberFormat="1" applyFont="1" applyFill="1" applyBorder="1" applyAlignment="1">
      <alignment horizontal="center" vertical="center" wrapText="1"/>
    </xf>
    <xf numFmtId="179" fontId="20" fillId="12" borderId="11" xfId="0" applyNumberFormat="1" applyFont="1" applyFill="1" applyBorder="1" applyAlignment="1">
      <alignment horizontal="center" vertical="center" wrapText="1"/>
    </xf>
    <xf numFmtId="0" fontId="0" fillId="12" borderId="3" xfId="0" applyFont="1" applyFill="1" applyBorder="1" applyAlignment="1">
      <alignment horizontal="center" vertical="center"/>
    </xf>
    <xf numFmtId="179" fontId="0" fillId="0" borderId="3" xfId="0" applyNumberFormat="1" applyBorder="1" applyAlignment="1">
      <alignment horizontal="center" vertical="center"/>
    </xf>
    <xf numFmtId="177" fontId="0" fillId="0" borderId="3" xfId="0" applyNumberFormat="1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9" fontId="0" fillId="0" borderId="3" xfId="0" applyNumberFormat="1" applyFont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3" borderId="3" xfId="0" applyNumberFormat="1" applyFill="1" applyBorder="1" applyAlignment="1">
      <alignment horizontal="center" vertical="center"/>
    </xf>
    <xf numFmtId="0" fontId="0" fillId="13" borderId="3" xfId="0" applyFont="1" applyFill="1" applyBorder="1" applyAlignment="1">
      <alignment horizontal="center" vertical="center"/>
    </xf>
    <xf numFmtId="0" fontId="0" fillId="13" borderId="3" xfId="0" applyNumberFormat="1" applyFont="1" applyFill="1" applyBorder="1" applyAlignment="1">
      <alignment horizontal="center" vertical="center"/>
    </xf>
    <xf numFmtId="179" fontId="0" fillId="13" borderId="3" xfId="0" applyNumberFormat="1" applyFont="1" applyFill="1" applyBorder="1" applyAlignment="1">
      <alignment horizontal="center" vertical="center"/>
    </xf>
    <xf numFmtId="177" fontId="19" fillId="0" borderId="11" xfId="0" applyNumberFormat="1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180" fontId="22" fillId="0" borderId="3" xfId="0" applyNumberFormat="1" applyFont="1" applyFill="1" applyBorder="1" applyAlignment="1">
      <alignment horizontal="center" vertical="center" wrapText="1"/>
    </xf>
    <xf numFmtId="0" fontId="0" fillId="12" borderId="9" xfId="0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179" fontId="0" fillId="12" borderId="3" xfId="0" applyNumberFormat="1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180" fontId="0" fillId="12" borderId="3" xfId="0" applyNumberFormat="1" applyFill="1" applyBorder="1" applyAlignment="1">
      <alignment horizontal="center" vertical="center"/>
    </xf>
    <xf numFmtId="176" fontId="0" fillId="12" borderId="3" xfId="0" applyNumberFormat="1" applyFill="1" applyBorder="1" applyAlignment="1">
      <alignment horizontal="center" vertical="center"/>
    </xf>
    <xf numFmtId="10" fontId="8" fillId="0" borderId="0" xfId="0" applyNumberFormat="1" applyFont="1" applyFill="1" applyAlignment="1">
      <alignment horizontal="center" vertical="center"/>
    </xf>
    <xf numFmtId="179" fontId="24" fillId="0" borderId="0" xfId="0" applyNumberFormat="1" applyFont="1" applyAlignment="1">
      <alignment horizontal="center" vertical="center" wrapText="1"/>
    </xf>
    <xf numFmtId="179" fontId="24" fillId="0" borderId="0" xfId="0" applyNumberFormat="1" applyFont="1" applyAlignment="1">
      <alignment vertical="center" wrapText="1"/>
    </xf>
    <xf numFmtId="179" fontId="25" fillId="0" borderId="0" xfId="0" applyNumberFormat="1" applyFont="1" applyAlignment="1">
      <alignment horizontal="left" vertical="center" wrapText="1"/>
    </xf>
    <xf numFmtId="179" fontId="26" fillId="14" borderId="12" xfId="0" applyNumberFormat="1" applyFont="1" applyFill="1" applyBorder="1" applyAlignment="1">
      <alignment horizontal="center" vertical="center" wrapText="1"/>
    </xf>
    <xf numFmtId="179" fontId="26" fillId="14" borderId="3" xfId="0" applyNumberFormat="1" applyFont="1" applyFill="1" applyBorder="1" applyAlignment="1">
      <alignment horizontal="center" vertical="center" wrapText="1"/>
    </xf>
    <xf numFmtId="0" fontId="26" fillId="14" borderId="10" xfId="0" applyFont="1" applyFill="1" applyBorder="1" applyAlignment="1">
      <alignment horizontal="center" vertical="center" wrapText="1"/>
    </xf>
    <xf numFmtId="179" fontId="26" fillId="14" borderId="14" xfId="0" applyNumberFormat="1" applyFont="1" applyFill="1" applyBorder="1" applyAlignment="1">
      <alignment horizontal="center" vertical="center" wrapText="1"/>
    </xf>
    <xf numFmtId="0" fontId="26" fillId="14" borderId="9" xfId="0" applyFont="1" applyFill="1" applyBorder="1" applyAlignment="1">
      <alignment horizontal="center" vertical="center" wrapText="1"/>
    </xf>
    <xf numFmtId="0" fontId="26" fillId="14" borderId="3" xfId="0" applyFont="1" applyFill="1" applyBorder="1" applyAlignment="1">
      <alignment horizontal="center" vertical="center" wrapText="1"/>
    </xf>
    <xf numFmtId="0" fontId="26" fillId="14" borderId="12" xfId="0" applyFont="1" applyFill="1" applyBorder="1" applyAlignment="1">
      <alignment horizontal="center" vertical="center" wrapText="1"/>
    </xf>
    <xf numFmtId="0" fontId="26" fillId="14" borderId="13" xfId="0" applyFont="1" applyFill="1" applyBorder="1" applyAlignment="1">
      <alignment horizontal="center" vertical="center" wrapText="1"/>
    </xf>
    <xf numFmtId="177" fontId="24" fillId="0" borderId="14" xfId="0" applyNumberFormat="1" applyFont="1" applyBorder="1" applyAlignment="1">
      <alignment horizontal="center" vertical="center" wrapText="1"/>
    </xf>
    <xf numFmtId="177" fontId="27" fillId="0" borderId="13" xfId="0" applyNumberFormat="1" applyFont="1" applyFill="1" applyBorder="1" applyAlignment="1">
      <alignment horizontal="center" vertical="center" wrapText="1"/>
    </xf>
    <xf numFmtId="177" fontId="28" fillId="9" borderId="3" xfId="0" applyNumberFormat="1" applyFont="1" applyFill="1" applyBorder="1" applyAlignment="1">
      <alignment horizontal="center" vertical="center" wrapText="1"/>
    </xf>
    <xf numFmtId="177" fontId="28" fillId="0" borderId="3" xfId="0" applyNumberFormat="1" applyFont="1" applyFill="1" applyBorder="1" applyAlignment="1">
      <alignment horizontal="center" vertical="center" wrapText="1"/>
    </xf>
    <xf numFmtId="9" fontId="28" fillId="0" borderId="3" xfId="0" applyNumberFormat="1" applyFont="1" applyFill="1" applyBorder="1" applyAlignment="1">
      <alignment horizontal="center" vertical="center" wrapText="1"/>
    </xf>
    <xf numFmtId="0" fontId="28" fillId="0" borderId="3" xfId="0" applyNumberFormat="1" applyFont="1" applyFill="1" applyBorder="1" applyAlignment="1">
      <alignment horizontal="center" vertical="center" wrapText="1"/>
    </xf>
    <xf numFmtId="177" fontId="24" fillId="15" borderId="3" xfId="0" applyNumberFormat="1" applyFont="1" applyFill="1" applyBorder="1" applyAlignment="1">
      <alignment horizontal="center" vertical="center" wrapText="1"/>
    </xf>
    <xf numFmtId="10" fontId="24" fillId="15" borderId="3" xfId="0" applyNumberFormat="1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177" fontId="28" fillId="0" borderId="0" xfId="0" applyNumberFormat="1" applyFont="1" applyFill="1" applyAlignment="1">
      <alignment horizontal="center" vertical="center"/>
    </xf>
    <xf numFmtId="179" fontId="28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vertical="center"/>
    </xf>
    <xf numFmtId="177" fontId="31" fillId="0" borderId="0" xfId="0" applyNumberFormat="1" applyFont="1" applyFill="1" applyAlignment="1">
      <alignment vertical="center"/>
    </xf>
    <xf numFmtId="0" fontId="32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vertical="center" wrapText="1"/>
    </xf>
    <xf numFmtId="177" fontId="5" fillId="0" borderId="0" xfId="0" applyNumberFormat="1" applyFont="1" applyFill="1" applyAlignment="1">
      <alignment vertical="center" wrapText="1"/>
    </xf>
    <xf numFmtId="0" fontId="33" fillId="0" borderId="0" xfId="0" applyFont="1" applyFill="1" applyAlignment="1">
      <alignment horizontal="left" vertical="center"/>
    </xf>
    <xf numFmtId="0" fontId="28" fillId="0" borderId="0" xfId="0" applyFont="1" applyFill="1" applyAlignment="1">
      <alignment vertical="center"/>
    </xf>
    <xf numFmtId="177" fontId="28" fillId="0" borderId="0" xfId="0" applyNumberFormat="1" applyFont="1" applyFill="1" applyAlignment="1">
      <alignment vertical="center"/>
    </xf>
    <xf numFmtId="179" fontId="28" fillId="0" borderId="0" xfId="0" applyNumberFormat="1" applyFont="1" applyFill="1" applyAlignment="1">
      <alignment vertical="center"/>
    </xf>
    <xf numFmtId="0" fontId="28" fillId="12" borderId="3" xfId="0" applyFont="1" applyFill="1" applyBorder="1" applyAlignment="1">
      <alignment horizontal="center" vertical="center"/>
    </xf>
    <xf numFmtId="177" fontId="28" fillId="12" borderId="3" xfId="0" applyNumberFormat="1" applyFont="1" applyFill="1" applyBorder="1" applyAlignment="1">
      <alignment horizontal="center" vertical="center"/>
    </xf>
    <xf numFmtId="0" fontId="28" fillId="3" borderId="3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vertical="center"/>
    </xf>
    <xf numFmtId="177" fontId="28" fillId="0" borderId="0" xfId="0" applyNumberFormat="1" applyFont="1" applyFill="1" applyBorder="1" applyAlignment="1">
      <alignment vertical="center"/>
    </xf>
    <xf numFmtId="0" fontId="34" fillId="0" borderId="3" xfId="0" applyFont="1" applyFill="1" applyBorder="1" applyAlignment="1">
      <alignment horizontal="center" vertical="center"/>
    </xf>
    <xf numFmtId="177" fontId="34" fillId="0" borderId="11" xfId="0" applyNumberFormat="1" applyFont="1" applyFill="1" applyBorder="1" applyAlignment="1">
      <alignment horizontal="center" vertical="center"/>
    </xf>
    <xf numFmtId="177" fontId="34" fillId="0" borderId="3" xfId="0" applyNumberFormat="1" applyFont="1" applyFill="1" applyBorder="1" applyAlignment="1">
      <alignment horizontal="center" vertical="center"/>
    </xf>
    <xf numFmtId="179" fontId="34" fillId="0" borderId="3" xfId="0" applyNumberFormat="1" applyFont="1" applyFill="1" applyBorder="1" applyAlignment="1">
      <alignment horizontal="center" vertical="center"/>
    </xf>
    <xf numFmtId="0" fontId="34" fillId="3" borderId="3" xfId="0" applyFont="1" applyFill="1" applyBorder="1" applyAlignment="1">
      <alignment horizontal="center" vertical="center"/>
    </xf>
    <xf numFmtId="177" fontId="28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0" xfId="0" applyNumberFormat="1" applyFont="1" applyFill="1" applyBorder="1" applyAlignment="1">
      <alignment horizontal="center" vertical="center"/>
    </xf>
    <xf numFmtId="177" fontId="34" fillId="6" borderId="11" xfId="0" applyNumberFormat="1" applyFont="1" applyFill="1" applyBorder="1" applyAlignment="1">
      <alignment horizontal="center" vertical="center"/>
    </xf>
    <xf numFmtId="176" fontId="34" fillId="6" borderId="3" xfId="0" applyNumberFormat="1" applyFont="1" applyFill="1" applyBorder="1" applyAlignment="1">
      <alignment horizontal="center" vertical="center"/>
    </xf>
    <xf numFmtId="176" fontId="34" fillId="3" borderId="3" xfId="0" applyNumberFormat="1" applyFont="1" applyFill="1" applyBorder="1" applyAlignment="1">
      <alignment horizontal="center" vertical="center"/>
    </xf>
    <xf numFmtId="10" fontId="28" fillId="0" borderId="0" xfId="0" applyNumberFormat="1" applyFont="1" applyFill="1" applyBorder="1" applyAlignment="1">
      <alignment horizontal="center" vertical="center"/>
    </xf>
    <xf numFmtId="10" fontId="28" fillId="0" borderId="0" xfId="0" applyNumberFormat="1" applyFont="1" applyFill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178" fontId="28" fillId="0" borderId="0" xfId="0" applyNumberFormat="1" applyFont="1" applyFill="1" applyAlignment="1">
      <alignment horizontal="center" vertical="center"/>
    </xf>
    <xf numFmtId="0" fontId="29" fillId="0" borderId="0" xfId="0" applyFont="1" applyFill="1" applyAlignment="1">
      <alignment vertical="center"/>
    </xf>
    <xf numFmtId="177" fontId="29" fillId="0" borderId="0" xfId="0" applyNumberFormat="1" applyFont="1" applyFill="1" applyAlignment="1">
      <alignment vertical="center"/>
    </xf>
    <xf numFmtId="179" fontId="29" fillId="0" borderId="0" xfId="0" applyNumberFormat="1" applyFont="1" applyFill="1" applyAlignment="1">
      <alignment vertical="center"/>
    </xf>
    <xf numFmtId="0" fontId="28" fillId="12" borderId="9" xfId="0" applyFont="1" applyFill="1" applyBorder="1" applyAlignment="1">
      <alignment horizontal="center" vertical="center"/>
    </xf>
    <xf numFmtId="0" fontId="28" fillId="12" borderId="11" xfId="0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 wrapText="1"/>
    </xf>
    <xf numFmtId="177" fontId="28" fillId="0" borderId="3" xfId="0" applyNumberFormat="1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178" fontId="28" fillId="0" borderId="3" xfId="0" applyNumberFormat="1" applyFont="1" applyFill="1" applyBorder="1" applyAlignment="1">
      <alignment horizontal="center" vertical="center"/>
    </xf>
    <xf numFmtId="0" fontId="28" fillId="0" borderId="3" xfId="0" applyNumberFormat="1" applyFont="1" applyFill="1" applyBorder="1" applyAlignment="1">
      <alignment horizontal="center" vertical="center"/>
    </xf>
    <xf numFmtId="177" fontId="28" fillId="6" borderId="3" xfId="0" applyNumberFormat="1" applyFont="1" applyFill="1" applyBorder="1" applyAlignment="1">
      <alignment horizontal="center" vertical="center"/>
    </xf>
    <xf numFmtId="176" fontId="28" fillId="6" borderId="3" xfId="0" applyNumberFormat="1" applyFont="1" applyFill="1" applyBorder="1" applyAlignment="1">
      <alignment horizontal="center" vertical="center"/>
    </xf>
    <xf numFmtId="176" fontId="28" fillId="3" borderId="3" xfId="0" applyNumberFormat="1" applyFont="1" applyFill="1" applyBorder="1" applyAlignment="1">
      <alignment horizontal="center" vertical="center"/>
    </xf>
    <xf numFmtId="177" fontId="28" fillId="0" borderId="3" xfId="0" applyNumberFormat="1" applyFont="1" applyFill="1" applyBorder="1" applyAlignment="1">
      <alignment horizontal="center" vertical="center"/>
    </xf>
    <xf numFmtId="176" fontId="28" fillId="0" borderId="3" xfId="0" applyNumberFormat="1" applyFont="1" applyFill="1" applyBorder="1" applyAlignment="1">
      <alignment horizontal="center" vertical="center"/>
    </xf>
    <xf numFmtId="178" fontId="28" fillId="0" borderId="3" xfId="0" applyNumberFormat="1" applyFont="1" applyFill="1" applyBorder="1" applyAlignment="1">
      <alignment horizontal="center" vertical="center"/>
    </xf>
    <xf numFmtId="0" fontId="28" fillId="3" borderId="3" xfId="0" applyNumberFormat="1" applyFont="1" applyFill="1" applyBorder="1" applyAlignment="1">
      <alignment horizontal="center" vertical="center"/>
    </xf>
    <xf numFmtId="0" fontId="28" fillId="0" borderId="3" xfId="0" applyNumberFormat="1" applyFont="1" applyFill="1" applyBorder="1" applyAlignment="1">
      <alignment horizontal="center" vertical="center"/>
    </xf>
    <xf numFmtId="4" fontId="28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 vertical="center" wrapText="1"/>
    </xf>
    <xf numFmtId="176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Border="1" applyAlignment="1">
      <alignment horizontal="center" vertical="center" wrapText="1"/>
    </xf>
    <xf numFmtId="181" fontId="28" fillId="0" borderId="3" xfId="0" applyNumberFormat="1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/>
    </xf>
    <xf numFmtId="177" fontId="28" fillId="0" borderId="11" xfId="0" applyNumberFormat="1" applyFont="1" applyFill="1" applyBorder="1" applyAlignment="1">
      <alignment horizontal="center" vertical="center"/>
    </xf>
    <xf numFmtId="178" fontId="28" fillId="3" borderId="3" xfId="0" applyNumberFormat="1" applyFont="1" applyFill="1" applyBorder="1" applyAlignment="1">
      <alignment horizontal="center" vertical="center"/>
    </xf>
    <xf numFmtId="0" fontId="28" fillId="0" borderId="14" xfId="0" applyFont="1" applyFill="1" applyBorder="1" applyAlignment="1">
      <alignment horizontal="center" vertical="center"/>
    </xf>
    <xf numFmtId="177" fontId="28" fillId="6" borderId="15" xfId="0" applyNumberFormat="1" applyFont="1" applyFill="1" applyBorder="1" applyAlignment="1">
      <alignment horizontal="center" vertical="center"/>
    </xf>
    <xf numFmtId="10" fontId="28" fillId="6" borderId="3" xfId="0" applyNumberFormat="1" applyFont="1" applyFill="1" applyBorder="1" applyAlignment="1">
      <alignment horizontal="center" vertical="center"/>
    </xf>
    <xf numFmtId="10" fontId="28" fillId="3" borderId="3" xfId="0" applyNumberFormat="1" applyFont="1" applyFill="1" applyBorder="1" applyAlignment="1">
      <alignment horizontal="center" vertical="center"/>
    </xf>
    <xf numFmtId="0" fontId="28" fillId="0" borderId="13" xfId="0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1">
    <dxf>
      <fill>
        <patternFill patternType="solid">
          <bgColor rgb="FF00B050"/>
        </patternFill>
      </fill>
    </dxf>
    <dxf>
      <fill>
        <patternFill patternType="solid">
          <bgColor rgb="FFFF00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PivotStylePreset2_Accent1" table="0" count="10" xr9:uid="{267968C8-6FFD-4C36-ACC1-9EA1FD1885CA}">
      <tableStyleElement type="headerRow" dxfId="20"/>
      <tableStyleElement type="totalRow" dxfId="19"/>
      <tableStyleElement type="firstRowStripe" dxfId="18"/>
      <tableStyleElement type="firstColumnStripe" dxfId="17"/>
      <tableStyleElement type="firstSubtotalRow" dxfId="16"/>
      <tableStyleElement type="secondSubtotalRow" dxfId="15"/>
      <tableStyleElement type="firstRowSubheading" dxfId="14"/>
      <tableStyleElement type="secondRowSubheading" dxfId="13"/>
      <tableStyleElement type="pageFieldLabels" dxfId="12"/>
      <tableStyleElement type="pageFieldValues" dxfId="11"/>
    </tableStyle>
  </tableStyles>
  <colors>
    <mruColors>
      <color rgb="00FF6C0D"/>
      <color rgb="00FB4633"/>
      <color rgb="000407A8"/>
      <color rgb="001D40F1"/>
      <color rgb="00FFFF0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eetMetadata" Target="metadata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3" Type="http://schemas.microsoft.com/office/2011/relationships/chartColorStyle" Target="colors1.xml"/><Relationship Id="rId2" Type="http://schemas.microsoft.com/office/2011/relationships/chartStyle" Target="style1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3" Type="http://schemas.microsoft.com/office/2011/relationships/chartColorStyle" Target="colors2.xml"/><Relationship Id="rId2" Type="http://schemas.microsoft.com/office/2011/relationships/chartStyle" Target="style2.xml"/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3" Type="http://schemas.microsoft.com/office/2011/relationships/chartColorStyle" Target="colors3.xml"/><Relationship Id="rId2" Type="http://schemas.microsoft.com/office/2011/relationships/chartStyle" Target="style3.xml"/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3" Type="http://schemas.microsoft.com/office/2011/relationships/chartColorStyle" Target="colors4.xml"/><Relationship Id="rId2" Type="http://schemas.microsoft.com/office/2011/relationships/chartStyle" Target="style4.xml"/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3" Type="http://schemas.microsoft.com/office/2011/relationships/chartColorStyle" Target="colors5.xml"/><Relationship Id="rId2" Type="http://schemas.microsoft.com/office/2011/relationships/chartStyle" Target="style5.xml"/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3" Type="http://schemas.microsoft.com/office/2011/relationships/chartColorStyle" Target="colors6.xml"/><Relationship Id="rId2" Type="http://schemas.microsoft.com/office/2011/relationships/chartStyle" Target="style6.xml"/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3" Type="http://schemas.microsoft.com/office/2011/relationships/chartColorStyle" Target="colors7.xml"/><Relationship Id="rId2" Type="http://schemas.microsoft.com/office/2011/relationships/chartStyle" Target="style7.xml"/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3" Type="http://schemas.microsoft.com/office/2011/relationships/chartColorStyle" Target="colors8.xml"/><Relationship Id="rId2" Type="http://schemas.microsoft.com/office/2011/relationships/chartStyle" Target="style8.xml"/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3" Type="http://schemas.microsoft.com/office/2011/relationships/chartColorStyle" Target="colors9.xml"/><Relationship Id="rId2" Type="http://schemas.microsoft.com/office/2011/relationships/chartStyle" Target="style9.xml"/><Relationship Id="rId1" Type="http://schemas.openxmlformats.org/officeDocument/2006/relationships/themeOverride" Target="../theme/themeOverrid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0" vertOverflow="ellipsis" vert="horz" wrap="square" anchor="ctr" anchorCtr="1" forceAA="0"/>
          <a:lstStyle/>
          <a:p>
            <a:pPr>
              <a:defRPr lang="zh-CN" sz="1440" b="0" i="0" u="none" strike="noStrike" kern="1200" spc="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  <a:r>
              <a:rPr sz="1440" b="1">
                <a:solidFill>
                  <a:schemeClr val="bg1"/>
                </a:solidFill>
              </a:rPr>
              <a:t>部门月度销售额趋势图</a:t>
            </a:r>
            <a:endParaRPr sz="1440" b="1">
              <a:solidFill>
                <a:schemeClr val="bg1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'1）年度指标达成情况'!$C$5</c:f>
              <c:strCache>
                <c:ptCount val="1"/>
                <c:pt idx="0">
                  <c:v>月度目标</c:v>
                </c:pt>
              </c:strCache>
            </c:strRef>
          </c:tx>
          <c:spPr>
            <a:ln w="28575" cap="rnd" cmpd="sng">
              <a:gradFill>
                <a:gsLst>
                  <a:gs pos="50000">
                    <a:schemeClr val="accent1"/>
                  </a:gs>
                  <a:gs pos="0">
                    <a:schemeClr val="accent1">
                      <a:lumMod val="25000"/>
                      <a:lumOff val="75000"/>
                    </a:schemeClr>
                  </a:gs>
                  <a:gs pos="100000">
                    <a:schemeClr val="accent1">
                      <a:lumMod val="85000"/>
                    </a:schemeClr>
                  </a:gs>
                </a:gsLst>
                <a:lin ang="5400000" scaled="0"/>
              </a:gradFill>
              <a:prstDash val="solid"/>
              <a:round/>
            </a:ln>
            <a:effectLst/>
            <a:sp3d contourW="28575"/>
          </c:spPr>
          <c:marker>
            <c:symbol val="circle"/>
            <c:size val="8"/>
            <c:spPr>
              <a:gradFill>
                <a:gsLst>
                  <a:gs pos="50000">
                    <a:schemeClr val="accent1"/>
                  </a:gs>
                  <a:gs pos="0">
                    <a:schemeClr val="accent1">
                      <a:lumMod val="25000"/>
                      <a:lumOff val="75000"/>
                    </a:schemeClr>
                  </a:gs>
                  <a:gs pos="100000">
                    <a:schemeClr val="accent1">
                      <a:lumMod val="85000"/>
                    </a:schemeClr>
                  </a:gs>
                </a:gsLst>
                <a:lin scaled="1"/>
              </a:gradFill>
              <a:ln w="28575">
                <a:gradFill>
                  <a:gsLst>
                    <a:gs pos="50000">
                      <a:schemeClr val="accent1"/>
                    </a:gs>
                    <a:gs pos="0">
                      <a:schemeClr val="accent1">
                        <a:lumMod val="25000"/>
                        <a:lumOff val="75000"/>
                      </a:schemeClr>
                    </a:gs>
                    <a:gs pos="100000">
                      <a:schemeClr val="accent1">
                        <a:lumMod val="85000"/>
                      </a:schemeClr>
                    </a:gs>
                  </a:gsLst>
                  <a:lin ang="5400000" scaled="0"/>
                </a:gra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200" b="0" i="0" u="none" strike="noStrike" kern="1200" baseline="0">
                    <a:solidFill>
                      <a:schemeClr val="bg1"/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'1）年度指标达成情况'!$D$4:$O$4</c:f>
              <c:strCache>
                <c:ptCount val="12"/>
                <c:pt idx="0" c:formatCode="0_ ">
                  <c:v>1月</c:v>
                </c:pt>
                <c:pt idx="1" c:formatCode="0_ ">
                  <c:v>2月</c:v>
                </c:pt>
                <c:pt idx="2" c:formatCode="0_ ">
                  <c:v>3月</c:v>
                </c:pt>
                <c:pt idx="3" c:formatCode="0_ ">
                  <c:v>4月</c:v>
                </c:pt>
                <c:pt idx="4" c:formatCode="0_ ">
                  <c:v>5月</c:v>
                </c:pt>
                <c:pt idx="5" c:formatCode="0_ ">
                  <c:v>6月</c:v>
                </c:pt>
                <c:pt idx="6" c:formatCode="0_ ">
                  <c:v>7月</c:v>
                </c:pt>
                <c:pt idx="7" c:formatCode="0_ ">
                  <c:v>8月</c:v>
                </c:pt>
                <c:pt idx="8" c:formatCode="0_ ">
                  <c:v>9月</c:v>
                </c:pt>
                <c:pt idx="9" c:formatCode="0_ ">
                  <c:v>10月</c:v>
                </c:pt>
                <c:pt idx="10" c:formatCode="0_ ">
                  <c:v>11月</c:v>
                </c:pt>
                <c:pt idx="11" c:formatCode="0_ ">
                  <c:v>12月</c:v>
                </c:pt>
              </c:strCache>
            </c:strRef>
          </c:cat>
          <c:val>
            <c:numRef>
              <c:f>'1）年度指标达成情况'!$D$5:$O$5</c:f>
              <c:numCache>
                <c:formatCode>0_ </c:formatCode>
                <c:ptCount val="12"/>
                <c:pt idx="0">
                  <c:v>2160000</c:v>
                </c:pt>
                <c:pt idx="1">
                  <c:v>2120000</c:v>
                </c:pt>
                <c:pt idx="2" c:formatCode="General">
                  <c:v>2259873.66</c:v>
                </c:pt>
                <c:pt idx="3">
                  <c:v>2693568.17777778</c:v>
                </c:pt>
                <c:pt idx="4">
                  <c:v>2757491.955</c:v>
                </c:pt>
                <c:pt idx="5" c:formatCode="General">
                  <c:v>2896328.17714286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'1）年度指标达成情况'!$C$6</c:f>
              <c:strCache>
                <c:ptCount val="1"/>
                <c:pt idx="0">
                  <c:v>实际完成</c:v>
                </c:pt>
              </c:strCache>
            </c:strRef>
          </c:tx>
          <c:spPr>
            <a:ln w="19050" cap="rnd" cmpd="sng">
              <a:solidFill>
                <a:srgbClr val="EE822F">
                  <a:lumMod val="60000"/>
                  <a:lumOff val="40000"/>
                </a:srgbClr>
              </a:solidFill>
              <a:prstDash val="solid"/>
              <a:round/>
            </a:ln>
            <a:effectLst/>
            <a:sp3d contourW="19050"/>
          </c:spPr>
          <c:marker>
            <c:symbol val="circle"/>
            <c:size val="8"/>
            <c:spPr>
              <a:solidFill>
                <a:srgbClr val="FFC000"/>
              </a:solidFill>
              <a:ln w="19050">
                <a:solidFill>
                  <a:srgbClr val="EE822F">
                    <a:lumMod val="60000"/>
                    <a:lumOff val="40000"/>
                  </a:srgb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200" b="0" i="0" u="none" strike="noStrike" kern="1200" baseline="0">
                    <a:solidFill>
                      <a:schemeClr val="bg1"/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'1）年度指标达成情况'!$D$4:$O$4</c:f>
              <c:strCache>
                <c:ptCount val="12"/>
                <c:pt idx="0" c:formatCode="0_ ">
                  <c:v>1月</c:v>
                </c:pt>
                <c:pt idx="1" c:formatCode="0_ ">
                  <c:v>2月</c:v>
                </c:pt>
                <c:pt idx="2" c:formatCode="0_ ">
                  <c:v>3月</c:v>
                </c:pt>
                <c:pt idx="3" c:formatCode="0_ ">
                  <c:v>4月</c:v>
                </c:pt>
                <c:pt idx="4" c:formatCode="0_ ">
                  <c:v>5月</c:v>
                </c:pt>
                <c:pt idx="5" c:formatCode="0_ ">
                  <c:v>6月</c:v>
                </c:pt>
                <c:pt idx="6" c:formatCode="0_ ">
                  <c:v>7月</c:v>
                </c:pt>
                <c:pt idx="7" c:formatCode="0_ ">
                  <c:v>8月</c:v>
                </c:pt>
                <c:pt idx="8" c:formatCode="0_ ">
                  <c:v>9月</c:v>
                </c:pt>
                <c:pt idx="9" c:formatCode="0_ ">
                  <c:v>10月</c:v>
                </c:pt>
                <c:pt idx="10" c:formatCode="0_ ">
                  <c:v>11月</c:v>
                </c:pt>
                <c:pt idx="11" c:formatCode="0_ ">
                  <c:v>12月</c:v>
                </c:pt>
              </c:strCache>
            </c:strRef>
          </c:cat>
          <c:val>
            <c:numRef>
              <c:f>'1）年度指标达成情况'!$D$6:$O$6</c:f>
              <c:numCache>
                <c:formatCode>0_ </c:formatCode>
                <c:ptCount val="12"/>
                <c:pt idx="0">
                  <c:v>3437599.3</c:v>
                </c:pt>
                <c:pt idx="1">
                  <c:v>921263.4</c:v>
                </c:pt>
                <c:pt idx="2">
                  <c:v>1956623</c:v>
                </c:pt>
                <c:pt idx="3">
                  <c:v>2262177.96</c:v>
                </c:pt>
                <c:pt idx="4">
                  <c:v>2415638.4</c:v>
                </c:pt>
                <c:pt idx="5">
                  <c:v>2543097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315340"/>
        <c:axId val="224756743"/>
      </c:lineChart>
      <c:catAx>
        <c:axId val="3873153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50000"/>
                  <a:lumOff val="50000"/>
                  <a:alpha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lumMod val="50000"/>
                <a:lumOff val="50000"/>
                <a:alpha val="2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2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224756743"/>
        <c:crosses val="autoZero"/>
        <c:auto val="1"/>
        <c:lblAlgn val="ctr"/>
        <c:lblOffset val="100"/>
        <c:noMultiLvlLbl val="0"/>
      </c:catAx>
      <c:valAx>
        <c:axId val="224756743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tx1">
                  <a:lumMod val="50000"/>
                  <a:lumOff val="50000"/>
                  <a:alpha val="25000"/>
                </a:schemeClr>
              </a:solidFill>
              <a:round/>
            </a:ln>
            <a:effectLst/>
          </c:spPr>
        </c:majorGridlines>
        <c:numFmt formatCode="0_ 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2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387315340"/>
        <c:crosses val="autoZero"/>
        <c:crossBetween val="between"/>
      </c:valAx>
      <c:spPr>
        <a:noFill/>
        <a:ln>
          <a:noFill/>
        </a:ln>
        <a:effectLst>
          <a:outerShdw blurRad="50800" dist="38100" dir="2700000" algn="tl" rotWithShape="0">
            <a:prstClr val="black">
              <a:alpha val="20000"/>
            </a:prstClr>
          </a:outerShdw>
        </a:effectLst>
      </c:spPr>
    </c:plotArea>
    <c:legend>
      <c:legendPos val="t"/>
      <c:legendEntry>
        <c:idx val="0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</c:legendEntry>
      <c:legendEntry>
        <c:idx val="1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</c:legendEntry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 forceAA="0"/>
        <a:lstStyle/>
        <a:p>
          <a:pPr>
            <a:defRPr lang="zh-CN" sz="1200" b="0" i="0" u="none" strike="noStrike" kern="1200" baseline="0">
              <a:solidFill>
                <a:schemeClr val="bg1"/>
              </a:solidFill>
              <a:latin typeface="微软雅黑" panose="020B0503020204020204" charset="-122"/>
              <a:ea typeface="微软雅黑" panose="020B0503020204020204" charset="-122"/>
              <a:cs typeface="微软雅黑" panose="020B0503020204020204" charset="-122"/>
              <a:sym typeface="微软雅黑" panose="020B0503020204020204" charset="-122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9596365a-297f-4f87-9c59-1f709ebb36cf}"/>
      </c:ext>
    </c:extLst>
  </c:chart>
  <c:spPr>
    <a:gradFill>
      <a:gsLst>
        <a:gs pos="50410">
          <a:srgbClr val="1F1F1F"/>
        </a:gs>
        <a:gs pos="0">
          <a:srgbClr val="020202"/>
        </a:gs>
        <a:gs pos="100000">
          <a:srgbClr val="424242"/>
        </a:gs>
      </a:gsLst>
      <a:lin ang="5400000" scaled="1"/>
    </a:gradFill>
    <a:ln w="6350" cap="rnd" cmpd="sng" algn="ctr">
      <a:solidFill>
        <a:schemeClr val="tx1">
          <a:lumMod val="50000"/>
          <a:lumOff val="50000"/>
          <a:alpha val="25000"/>
        </a:schemeClr>
      </a:solidFill>
      <a:round/>
    </a:ln>
    <a:effectLst>
      <a:outerShdw blurRad="63500" dist="37357" dir="2700000" sx="0" sy="0" rotWithShape="0">
        <a:scrgbClr r="0" g="0" b="0"/>
      </a:outerShdw>
    </a:effectLst>
  </c:spPr>
  <c:txPr>
    <a:bodyPr/>
    <a:lstStyle/>
    <a:p>
      <a:pPr>
        <a:defRPr lang="zh-CN" sz="1200">
          <a:solidFill>
            <a:schemeClr val="bg1"/>
          </a:solidFill>
          <a:latin typeface="微软雅黑" panose="020B0503020204020204" charset="-122"/>
          <a:ea typeface="微软雅黑" panose="020B0503020204020204" charset="-122"/>
          <a:cs typeface="微软雅黑" panose="020B0503020204020204" charset="-122"/>
          <a:sym typeface="微软雅黑" panose="020B0503020204020204" charset="-122"/>
        </a:defRPr>
      </a:pPr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0" vertOverflow="ellipsis" vert="horz" wrap="square" anchor="ctr" anchorCtr="1" forceAA="0"/>
          <a:lstStyle/>
          <a:p>
            <a:pPr>
              <a:defRPr lang="zh-CN" sz="1440" b="0" i="0" u="none" strike="noStrike" kern="1200" spc="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  <a:r>
              <a:rPr sz="1440" b="1">
                <a:solidFill>
                  <a:schemeClr val="bg1"/>
                </a:solidFill>
              </a:rPr>
              <a:t>个人月度销售额趋势图</a:t>
            </a:r>
            <a:endParaRPr sz="1440" b="1">
              <a:solidFill>
                <a:schemeClr val="bg1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'1）年度指标达成情况'!$B$85</c:f>
              <c:strCache>
                <c:ptCount val="1"/>
                <c:pt idx="0">
                  <c:v>刘虹晶</c:v>
                </c:pt>
              </c:strCache>
            </c:strRef>
          </c:tx>
          <c:spPr>
            <a:ln w="25400" cap="rnd" cmpd="sng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8"/>
            <c:spPr>
              <a:solidFill>
                <a:schemeClr val="accent1"/>
              </a:solidFill>
              <a:ln w="15875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200" b="0" i="0" u="none" strike="noStrike" kern="1200" baseline="0">
                    <a:solidFill>
                      <a:schemeClr val="bg1"/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'1）年度指标达成情况'!$C$84:$N$84</c:f>
              <c:strCache>
                <c:ptCount val="12"/>
                <c:pt idx="0" c:formatCode="0_ ">
                  <c:v>1月</c:v>
                </c:pt>
                <c:pt idx="1" c:formatCode="0.0%">
                  <c:v>2月</c:v>
                </c:pt>
                <c:pt idx="2" c:formatCode="0.0%">
                  <c:v>3月</c:v>
                </c:pt>
                <c:pt idx="3" c:formatCode="0.0%">
                  <c:v>4月</c:v>
                </c:pt>
                <c:pt idx="4" c:formatCode="0.0%">
                  <c:v>5月</c:v>
                </c:pt>
                <c:pt idx="5" c:formatCode="0.0%">
                  <c:v>6月</c:v>
                </c:pt>
                <c:pt idx="6" c:formatCode="0.0%">
                  <c:v>7月</c:v>
                </c:pt>
                <c:pt idx="7" c:formatCode="0.0%">
                  <c:v>8月</c:v>
                </c:pt>
                <c:pt idx="8" c:formatCode="0.0%">
                  <c:v>9月</c:v>
                </c:pt>
                <c:pt idx="9" c:formatCode="0.0%">
                  <c:v>10月</c:v>
                </c:pt>
                <c:pt idx="10" c:formatCode="0.0%">
                  <c:v>11月</c:v>
                </c:pt>
                <c:pt idx="11" c:formatCode="0.0%">
                  <c:v>12月</c:v>
                </c:pt>
              </c:strCache>
            </c:strRef>
          </c:cat>
          <c:val>
            <c:numRef>
              <c:f>'1）年度指标达成情况'!$C$85:$N$85</c:f>
              <c:numCache>
                <c:formatCode>General</c:formatCode>
                <c:ptCount val="12"/>
                <c:pt idx="0">
                  <c:v>478815</c:v>
                </c:pt>
                <c:pt idx="1">
                  <c:v>228431</c:v>
                </c:pt>
                <c:pt idx="2">
                  <c:v>392192</c:v>
                </c:pt>
                <c:pt idx="3">
                  <c:v>461507</c:v>
                </c:pt>
                <c:pt idx="4">
                  <c:v>868140</c:v>
                </c:pt>
                <c:pt idx="5">
                  <c:v>1250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1543962"/>
        <c:axId val="229128653"/>
      </c:lineChart>
      <c:catAx>
        <c:axId val="57154396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50000"/>
                  <a:lumOff val="50000"/>
                  <a:alpha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lumMod val="50000"/>
                <a:lumOff val="50000"/>
                <a:alpha val="2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2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229128653"/>
        <c:crosses val="autoZero"/>
        <c:auto val="1"/>
        <c:lblAlgn val="ctr"/>
        <c:lblOffset val="100"/>
        <c:noMultiLvlLbl val="0"/>
      </c:catAx>
      <c:valAx>
        <c:axId val="229128653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tx1">
                  <a:lumMod val="50000"/>
                  <a:lumOff val="50000"/>
                  <a:alpha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2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571543962"/>
        <c:crosses val="autoZero"/>
        <c:crossBetween val="between"/>
      </c:valAx>
      <c:spPr>
        <a:noFill/>
        <a:ln>
          <a:noFill/>
        </a:ln>
        <a:effectLst>
          <a:outerShdw blurRad="50800" dist="38100" dir="2700000" algn="tl" rotWithShape="0">
            <a:prstClr val="black">
              <a:alpha val="20000"/>
            </a:prstClr>
          </a:outerShdw>
        </a:effectLst>
      </c:spPr>
    </c:plotArea>
    <c:plotVisOnly val="0"/>
    <c:dispBlanksAs val="gap"/>
    <c:showDLblsOverMax val="0"/>
    <c:extLst>
      <c:ext uri="{0b15fc19-7d7d-44ad-8c2d-2c3a37ce22c3}">
        <chartProps xmlns="https://web.wps.cn/et/2018/main" chartId="{0f5022fe-f229-4ca9-b818-b032cf1a3538}"/>
      </c:ext>
    </c:extLst>
  </c:chart>
  <c:spPr>
    <a:gradFill>
      <a:gsLst>
        <a:gs pos="50410">
          <a:srgbClr val="1F1F1F"/>
        </a:gs>
        <a:gs pos="0">
          <a:srgbClr val="020202"/>
        </a:gs>
        <a:gs pos="100000">
          <a:srgbClr val="424242"/>
        </a:gs>
      </a:gsLst>
      <a:lin ang="5400000" scaled="1"/>
    </a:gradFill>
    <a:ln w="6350" cap="rnd" cmpd="sng" algn="ctr">
      <a:solidFill>
        <a:schemeClr val="tx1">
          <a:lumMod val="50000"/>
          <a:lumOff val="50000"/>
          <a:alpha val="25000"/>
        </a:schemeClr>
      </a:solidFill>
      <a:round/>
    </a:ln>
    <a:effectLst>
      <a:outerShdw blurRad="63500" dist="37357" dir="2700000" sx="0" sy="0" rotWithShape="0">
        <a:scrgbClr r="0" g="0" b="0"/>
      </a:outerShdw>
    </a:effectLst>
  </c:spPr>
  <c:txPr>
    <a:bodyPr/>
    <a:lstStyle/>
    <a:p>
      <a:pPr>
        <a:defRPr lang="zh-CN" sz="1200">
          <a:solidFill>
            <a:schemeClr val="bg1"/>
          </a:solidFill>
          <a:latin typeface="微软雅黑" panose="020B0503020204020204" charset="-122"/>
          <a:ea typeface="微软雅黑" panose="020B0503020204020204" charset="-122"/>
          <a:cs typeface="微软雅黑" panose="020B0503020204020204" charset="-122"/>
          <a:sym typeface="微软雅黑" panose="020B0503020204020204" charset="-122"/>
        </a:defRPr>
      </a:pPr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0" vertOverflow="ellipsis" vert="horz" wrap="square" anchor="ctr" anchorCtr="1" forceAA="0"/>
          <a:lstStyle/>
          <a:p>
            <a:pPr>
              <a:defRPr lang="zh-CN" sz="1440" b="0" i="0" u="none" strike="noStrike" kern="1200" spc="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  <a:r>
              <a:rPr sz="1440">
                <a:solidFill>
                  <a:schemeClr val="bg1"/>
                </a:solidFill>
              </a:rPr>
              <a:t>部门客户开发月度达成趋势图</a:t>
            </a:r>
            <a:endParaRPr sz="1440">
              <a:solidFill>
                <a:schemeClr val="bg1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0170809291315283"/>
          <c:y val="0.232113460807902"/>
          <c:w val="0.974781772451546"/>
          <c:h val="0.690920602760542"/>
        </c:manualLayout>
      </c:layout>
      <c:lineChart>
        <c:grouping val="standard"/>
        <c:varyColors val="0"/>
        <c:ser>
          <c:idx val="0"/>
          <c:order val="0"/>
          <c:tx>
            <c:strRef>
              <c:f>'1）年度指标达成情况'!$B$113</c:f>
              <c:strCache>
                <c:ptCount val="1"/>
                <c:pt idx="0">
                  <c:v>KA客户月度目标</c:v>
                </c:pt>
              </c:strCache>
            </c:strRef>
          </c:tx>
          <c:spPr>
            <a:ln w="25400" cap="rnd" cmpd="sng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8"/>
            <c:spPr>
              <a:solidFill>
                <a:schemeClr val="accent1"/>
              </a:solidFill>
              <a:ln w="15875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200" b="0" i="0" u="none" strike="noStrike" kern="1200" baseline="0">
                    <a:solidFill>
                      <a:schemeClr val="bg1"/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'1）年度指标达成情况'!$C$112:$N$112</c:f>
              <c:strCache>
                <c:ptCount val="12"/>
                <c:pt idx="0" c:formatCode="0_ ">
                  <c:v>1月</c:v>
                </c:pt>
                <c:pt idx="1" c:formatCode="0.0%">
                  <c:v>2月</c:v>
                </c:pt>
                <c:pt idx="2" c:formatCode="0.0%">
                  <c:v>3月</c:v>
                </c:pt>
                <c:pt idx="3" c:formatCode="0.0%">
                  <c:v>4月</c:v>
                </c:pt>
                <c:pt idx="4" c:formatCode="0.0%">
                  <c:v>5月</c:v>
                </c:pt>
                <c:pt idx="5" c:formatCode="0.0%">
                  <c:v>6月</c:v>
                </c:pt>
                <c:pt idx="6" c:formatCode="0.0%">
                  <c:v>7月</c:v>
                </c:pt>
                <c:pt idx="7" c:formatCode="0.0%">
                  <c:v>8月</c:v>
                </c:pt>
                <c:pt idx="8" c:formatCode="0.0%">
                  <c:v>9月</c:v>
                </c:pt>
                <c:pt idx="9" c:formatCode="0.0%">
                  <c:v>10月</c:v>
                </c:pt>
                <c:pt idx="10" c:formatCode="0.0%">
                  <c:v>11月</c:v>
                </c:pt>
                <c:pt idx="11" c:formatCode="0.0%">
                  <c:v>12月</c:v>
                </c:pt>
              </c:strCache>
            </c:strRef>
          </c:cat>
          <c:val>
            <c:numRef>
              <c:f>'1）年度指标达成情况'!$C$113:$N$113</c:f>
              <c:numCache>
                <c:formatCode>0_ </c:formatCode>
                <c:ptCount val="12"/>
                <c:pt idx="0">
                  <c:v>7.5</c:v>
                </c:pt>
                <c:pt idx="1">
                  <c:v>7.5</c:v>
                </c:pt>
                <c:pt idx="2">
                  <c:v>7.5</c:v>
                </c:pt>
                <c:pt idx="3">
                  <c:v>7.5</c:v>
                </c:pt>
                <c:pt idx="4">
                  <c:v>7.5</c:v>
                </c:pt>
                <c:pt idx="5">
                  <c:v>7.5</c:v>
                </c:pt>
                <c:pt idx="6">
                  <c:v>7.5</c:v>
                </c:pt>
                <c:pt idx="7">
                  <c:v>7.5</c:v>
                </c:pt>
                <c:pt idx="8">
                  <c:v>7.5</c:v>
                </c:pt>
                <c:pt idx="9">
                  <c:v>7.5</c:v>
                </c:pt>
                <c:pt idx="10">
                  <c:v>7.5</c:v>
                </c:pt>
                <c:pt idx="11">
                  <c:v>7.5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'1）年度指标达成情况'!$B$114</c:f>
              <c:strCache>
                <c:ptCount val="1"/>
                <c:pt idx="0">
                  <c:v>KA客户实际完成</c:v>
                </c:pt>
              </c:strCache>
            </c:strRef>
          </c:tx>
          <c:spPr>
            <a:ln w="25400" cap="rnd" cmpd="sng">
              <a:solidFill>
                <a:schemeClr val="accent2"/>
              </a:solidFill>
              <a:prstDash val="solid"/>
              <a:round/>
            </a:ln>
            <a:effectLst/>
          </c:spPr>
          <c:marker>
            <c:symbol val="circle"/>
            <c:size val="8"/>
            <c:spPr>
              <a:solidFill>
                <a:schemeClr val="accent2"/>
              </a:solidFill>
              <a:ln w="15875">
                <a:noFill/>
              </a:ln>
              <a:effectLst/>
            </c:spPr>
          </c:marker>
          <c:dPt>
            <c:idx val="0"/>
            <c:marker>
              <c:symbol val="circle"/>
              <c:size val="8"/>
              <c:spPr>
                <a:solidFill>
                  <a:schemeClr val="accent2"/>
                </a:solidFill>
                <a:ln w="15875">
                  <a:noFill/>
                </a:ln>
                <a:effectLst/>
              </c:spPr>
            </c:marker>
            <c:bubble3D val="0"/>
            <c:spPr>
              <a:ln w="28575" cap="rnd" cmpd="sng">
                <a:solidFill>
                  <a:srgbClr val="EE822F"/>
                </a:solidFill>
                <a:prstDash val="solid"/>
                <a:round/>
              </a:ln>
              <a:effectLst/>
              <a:sp3d contourW="28575"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200" b="0" i="0" u="none" strike="noStrike" kern="1200" baseline="0">
                    <a:solidFill>
                      <a:schemeClr val="bg1"/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'1）年度指标达成情况'!$C$112:$N$112</c:f>
              <c:strCache>
                <c:ptCount val="12"/>
                <c:pt idx="0" c:formatCode="0_ ">
                  <c:v>1月</c:v>
                </c:pt>
                <c:pt idx="1" c:formatCode="0.0%">
                  <c:v>2月</c:v>
                </c:pt>
                <c:pt idx="2" c:formatCode="0.0%">
                  <c:v>3月</c:v>
                </c:pt>
                <c:pt idx="3" c:formatCode="0.0%">
                  <c:v>4月</c:v>
                </c:pt>
                <c:pt idx="4" c:formatCode="0.0%">
                  <c:v>5月</c:v>
                </c:pt>
                <c:pt idx="5" c:formatCode="0.0%">
                  <c:v>6月</c:v>
                </c:pt>
                <c:pt idx="6" c:formatCode="0.0%">
                  <c:v>7月</c:v>
                </c:pt>
                <c:pt idx="7" c:formatCode="0.0%">
                  <c:v>8月</c:v>
                </c:pt>
                <c:pt idx="8" c:formatCode="0.0%">
                  <c:v>9月</c:v>
                </c:pt>
                <c:pt idx="9" c:formatCode="0.0%">
                  <c:v>10月</c:v>
                </c:pt>
                <c:pt idx="10" c:formatCode="0.0%">
                  <c:v>11月</c:v>
                </c:pt>
                <c:pt idx="11" c:formatCode="0.0%">
                  <c:v>12月</c:v>
                </c:pt>
              </c:strCache>
            </c:strRef>
          </c:cat>
          <c:val>
            <c:numRef>
              <c:f>'1）年度指标达成情况'!$C$114:$N$114</c:f>
              <c:numCache>
                <c:formatCode>0_ </c:formatCode>
                <c:ptCount val="12"/>
                <c:pt idx="0">
                  <c:v>10.5</c:v>
                </c:pt>
                <c:pt idx="1">
                  <c:v>4.5</c:v>
                </c:pt>
                <c:pt idx="2">
                  <c:v>5</c:v>
                </c:pt>
                <c:pt idx="3">
                  <c:v>5.5</c:v>
                </c:pt>
                <c:pt idx="4">
                  <c:v>5.5</c:v>
                </c:pt>
                <c:pt idx="5">
                  <c:v>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'1）年度指标达成情况'!$B$115</c:f>
              <c:strCache>
                <c:ptCount val="1"/>
                <c:pt idx="0">
                  <c:v>NGS客户月度目标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delete val="1"/>
          </c:dLbls>
          <c:cat>
            <c:strRef>
              <c:f>'1）年度指标达成情况'!$C$112:$N$112</c:f>
              <c:strCache>
                <c:ptCount val="12"/>
                <c:pt idx="0" c:formatCode="0_ ">
                  <c:v>1月</c:v>
                </c:pt>
                <c:pt idx="1" c:formatCode="0.0%">
                  <c:v>2月</c:v>
                </c:pt>
                <c:pt idx="2" c:formatCode="0.0%">
                  <c:v>3月</c:v>
                </c:pt>
                <c:pt idx="3" c:formatCode="0.0%">
                  <c:v>4月</c:v>
                </c:pt>
                <c:pt idx="4" c:formatCode="0.0%">
                  <c:v>5月</c:v>
                </c:pt>
                <c:pt idx="5" c:formatCode="0.0%">
                  <c:v>6月</c:v>
                </c:pt>
                <c:pt idx="6" c:formatCode="0.0%">
                  <c:v>7月</c:v>
                </c:pt>
                <c:pt idx="7" c:formatCode="0.0%">
                  <c:v>8月</c:v>
                </c:pt>
                <c:pt idx="8" c:formatCode="0.0%">
                  <c:v>9月</c:v>
                </c:pt>
                <c:pt idx="9" c:formatCode="0.0%">
                  <c:v>10月</c:v>
                </c:pt>
                <c:pt idx="10" c:formatCode="0.0%">
                  <c:v>11月</c:v>
                </c:pt>
                <c:pt idx="11" c:formatCode="0.0%">
                  <c:v>12月</c:v>
                </c:pt>
              </c:strCache>
            </c:strRef>
          </c:cat>
          <c:val>
            <c:numRef>
              <c:f>'1）年度指标达成情况'!$C$115:$N$115</c:f>
              <c:numCache>
                <c:formatCode>0_ 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'1）年度指标达成情况'!$B$116</c:f>
              <c:strCache>
                <c:ptCount val="1"/>
                <c:pt idx="0">
                  <c:v>NGS客户实际完成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delete val="1"/>
          </c:dLbls>
          <c:cat>
            <c:strRef>
              <c:f>'1）年度指标达成情况'!$C$112:$N$112</c:f>
              <c:strCache>
                <c:ptCount val="12"/>
                <c:pt idx="0" c:formatCode="0_ ">
                  <c:v>1月</c:v>
                </c:pt>
                <c:pt idx="1" c:formatCode="0.0%">
                  <c:v>2月</c:v>
                </c:pt>
                <c:pt idx="2" c:formatCode="0.0%">
                  <c:v>3月</c:v>
                </c:pt>
                <c:pt idx="3" c:formatCode="0.0%">
                  <c:v>4月</c:v>
                </c:pt>
                <c:pt idx="4" c:formatCode="0.0%">
                  <c:v>5月</c:v>
                </c:pt>
                <c:pt idx="5" c:formatCode="0.0%">
                  <c:v>6月</c:v>
                </c:pt>
                <c:pt idx="6" c:formatCode="0.0%">
                  <c:v>7月</c:v>
                </c:pt>
                <c:pt idx="7" c:formatCode="0.0%">
                  <c:v>8月</c:v>
                </c:pt>
                <c:pt idx="8" c:formatCode="0.0%">
                  <c:v>9月</c:v>
                </c:pt>
                <c:pt idx="9" c:formatCode="0.0%">
                  <c:v>10月</c:v>
                </c:pt>
                <c:pt idx="10" c:formatCode="0.0%">
                  <c:v>11月</c:v>
                </c:pt>
                <c:pt idx="11" c:formatCode="0.0%">
                  <c:v>12月</c:v>
                </c:pt>
              </c:strCache>
            </c:strRef>
          </c:cat>
          <c:val>
            <c:numRef>
              <c:f>'1）年度指标达成情况'!$C$116:$N$116</c:f>
              <c:numCache>
                <c:formatCode>0_ 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315340"/>
        <c:axId val="224756743"/>
      </c:lineChart>
      <c:catAx>
        <c:axId val="3873153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50000"/>
                  <a:lumOff val="50000"/>
                  <a:alpha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lumMod val="50000"/>
                <a:lumOff val="50000"/>
                <a:alpha val="2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2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224756743"/>
        <c:crosses val="autoZero"/>
        <c:auto val="1"/>
        <c:lblAlgn val="ctr"/>
        <c:lblOffset val="100"/>
        <c:noMultiLvlLbl val="0"/>
      </c:catAx>
      <c:valAx>
        <c:axId val="224756743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tx1">
                  <a:lumMod val="50000"/>
                  <a:lumOff val="50000"/>
                  <a:alpha val="25000"/>
                </a:schemeClr>
              </a:solidFill>
              <a:round/>
            </a:ln>
            <a:effectLst/>
          </c:spPr>
        </c:majorGridlines>
        <c:numFmt formatCode="0_ 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2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387315340"/>
        <c:crosses val="autoZero"/>
        <c:crossBetween val="between"/>
      </c:valAx>
      <c:spPr>
        <a:noFill/>
        <a:ln>
          <a:noFill/>
        </a:ln>
        <a:effectLst>
          <a:outerShdw blurRad="50800" dist="38100" dir="2700000" algn="tl" rotWithShape="0">
            <a:prstClr val="black">
              <a:alpha val="20000"/>
            </a:prstClr>
          </a:outerShdw>
        </a:effectLst>
      </c:spPr>
    </c:plotArea>
    <c:legend>
      <c:legendPos val="t"/>
      <c:legendEntry>
        <c:idx val="0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</c:legendEntry>
      <c:legendEntry>
        <c:idx val="1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</c:legendEntry>
      <c:layout>
        <c:manualLayout>
          <c:xMode val="edge"/>
          <c:yMode val="edge"/>
          <c:x val="0.794311288652167"/>
          <c:y val="0.00379891097885273"/>
          <c:w val="0.0883636632637964"/>
          <c:h val="0.209319994934785"/>
        </c:manualLayout>
      </c:layout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 forceAA="0"/>
        <a:lstStyle/>
        <a:p>
          <a:pPr>
            <a:defRPr lang="zh-CN" sz="1200" b="0" i="0" u="none" strike="noStrike" kern="1200" baseline="0">
              <a:solidFill>
                <a:schemeClr val="bg1"/>
              </a:solidFill>
              <a:latin typeface="微软雅黑" panose="020B0503020204020204" charset="-122"/>
              <a:ea typeface="微软雅黑" panose="020B0503020204020204" charset="-122"/>
              <a:cs typeface="微软雅黑" panose="020B0503020204020204" charset="-122"/>
              <a:sym typeface="微软雅黑" panose="020B0503020204020204" charset="-122"/>
            </a:defRPr>
          </a:pPr>
        </a:p>
      </c:txPr>
    </c:legend>
    <c:plotVisOnly val="0"/>
    <c:dispBlanksAs val="gap"/>
    <c:showDLblsOverMax val="0"/>
    <c:extLst>
      <c:ext uri="{0b15fc19-7d7d-44ad-8c2d-2c3a37ce22c3}">
        <chartProps xmlns="https://web.wps.cn/et/2018/main" chartId="{c80bed99-1177-48cb-8f5f-c89ea9b7024e}"/>
      </c:ext>
    </c:extLst>
  </c:chart>
  <c:spPr>
    <a:gradFill>
      <a:gsLst>
        <a:gs pos="50410">
          <a:srgbClr val="1F1F1F"/>
        </a:gs>
        <a:gs pos="0">
          <a:srgbClr val="020202"/>
        </a:gs>
        <a:gs pos="100000">
          <a:srgbClr val="424242"/>
        </a:gs>
      </a:gsLst>
      <a:lin ang="5400000" scaled="1"/>
    </a:gradFill>
    <a:ln w="6350" cap="rnd" cmpd="sng" algn="ctr">
      <a:solidFill>
        <a:schemeClr val="tx1">
          <a:lumMod val="50000"/>
          <a:lumOff val="50000"/>
          <a:alpha val="25000"/>
        </a:schemeClr>
      </a:solidFill>
      <a:round/>
    </a:ln>
    <a:effectLst>
      <a:outerShdw blurRad="63500" dist="37357" dir="2700000" sx="0" sy="0" rotWithShape="0">
        <a:scrgbClr r="0" g="0" b="0"/>
      </a:outerShdw>
    </a:effectLst>
  </c:spPr>
  <c:txPr>
    <a:bodyPr/>
    <a:lstStyle/>
    <a:p>
      <a:pPr>
        <a:defRPr lang="zh-CN" sz="1200">
          <a:solidFill>
            <a:schemeClr val="bg1"/>
          </a:solidFill>
          <a:latin typeface="微软雅黑" panose="020B0503020204020204" charset="-122"/>
          <a:ea typeface="微软雅黑" panose="020B0503020204020204" charset="-122"/>
          <a:cs typeface="微软雅黑" panose="020B0503020204020204" charset="-122"/>
          <a:sym typeface="微软雅黑" panose="020B0503020204020204" charset="-122"/>
        </a:defRPr>
      </a:pPr>
    </a:p>
  </c:txPr>
  <c:externalData r:id="rId1">
    <c:autoUpdate val="0"/>
  </c:externalData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0" vertOverflow="ellipsis" vert="horz" wrap="square" anchor="ctr" anchorCtr="1" forceAA="0"/>
          <a:lstStyle/>
          <a:p>
            <a:pPr>
              <a:defRPr lang="zh-CN" sz="1320" b="0" i="0" u="none" strike="noStrike" kern="1200" spc="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  <a:r>
              <a:rPr sz="1320">
                <a:solidFill>
                  <a:schemeClr val="bg1"/>
                </a:solidFill>
              </a:rPr>
              <a:t>个人</a:t>
            </a:r>
            <a:r>
              <a:rPr lang="en-US" altLang="zh-CN" sz="1320">
                <a:solidFill>
                  <a:schemeClr val="bg1"/>
                </a:solidFill>
              </a:rPr>
              <a:t>KA</a:t>
            </a:r>
            <a:r>
              <a:rPr sz="1320">
                <a:solidFill>
                  <a:schemeClr val="bg1"/>
                </a:solidFill>
              </a:rPr>
              <a:t>客户开发月度达成趋势图</a:t>
            </a:r>
            <a:endParaRPr sz="1320">
              <a:solidFill>
                <a:schemeClr val="bg1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'1）年度指标达成情况'!$B$244</c:f>
              <c:strCache>
                <c:ptCount val="1"/>
                <c:pt idx="0">
                  <c:v>刘虹晶</c:v>
                </c:pt>
              </c:strCache>
            </c:strRef>
          </c:tx>
          <c:spPr>
            <a:ln w="25400" cap="rnd" cmpd="sng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8"/>
            <c:spPr>
              <a:solidFill>
                <a:schemeClr val="accent1"/>
              </a:solidFill>
              <a:ln w="15875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100" b="0" i="0" u="none" strike="noStrike" kern="1200" baseline="0">
                    <a:solidFill>
                      <a:schemeClr val="bg1"/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'1）年度指标达成情况'!$C$243:$N$243</c:f>
              <c:strCache>
                <c:ptCount val="12"/>
                <c:pt idx="0">
                  <c:v>1月</c:v>
                </c:pt>
                <c:pt idx="1" c:formatCode="0_ ">
                  <c:v>2月</c:v>
                </c:pt>
                <c:pt idx="2" c:formatCode="0_ ">
                  <c:v>3月</c:v>
                </c:pt>
                <c:pt idx="3">
                  <c:v>4月</c:v>
                </c:pt>
                <c:pt idx="4" c:formatCode="0_ ">
                  <c:v>5月</c:v>
                </c:pt>
                <c:pt idx="5" c:formatCode="0_ ">
                  <c:v>6月</c:v>
                </c:pt>
                <c:pt idx="6">
                  <c:v>7月</c:v>
                </c:pt>
                <c:pt idx="7" c:formatCode="0.00_ ">
                  <c:v>8月</c:v>
                </c:pt>
                <c:pt idx="8">
                  <c:v>9月</c:v>
                </c:pt>
                <c:pt idx="9">
                  <c:v>10月</c:v>
                </c:pt>
                <c:pt idx="10" c:formatCode="0.00_ ">
                  <c:v>11月</c:v>
                </c:pt>
                <c:pt idx="11" c:formatCode="0.00_ ">
                  <c:v>12月</c:v>
                </c:pt>
              </c:strCache>
            </c:strRef>
          </c:cat>
          <c:val>
            <c:numRef>
              <c:f>'1）年度指标达成情况'!$C$244:$N$244</c:f>
              <c:numCache>
                <c:formatCode>General</c:formatCode>
                <c:ptCount val="12"/>
                <c:pt idx="0">
                  <c:v>2</c:v>
                </c:pt>
                <c:pt idx="1">
                  <c:v>1</c:v>
                </c:pt>
                <c:pt idx="2">
                  <c:v>0.5</c:v>
                </c:pt>
                <c:pt idx="3">
                  <c:v>0.5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1543962"/>
        <c:axId val="229128653"/>
      </c:lineChart>
      <c:catAx>
        <c:axId val="57154396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50000"/>
                  <a:lumOff val="50000"/>
                  <a:alpha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lumMod val="50000"/>
                <a:lumOff val="50000"/>
                <a:alpha val="2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1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229128653"/>
        <c:crosses val="autoZero"/>
        <c:auto val="1"/>
        <c:lblAlgn val="ctr"/>
        <c:lblOffset val="100"/>
        <c:noMultiLvlLbl val="0"/>
      </c:catAx>
      <c:valAx>
        <c:axId val="229128653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tx1">
                  <a:lumMod val="50000"/>
                  <a:lumOff val="50000"/>
                  <a:alpha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1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571543962"/>
        <c:crosses val="autoZero"/>
        <c:crossBetween val="between"/>
      </c:valAx>
      <c:spPr>
        <a:noFill/>
        <a:ln>
          <a:noFill/>
        </a:ln>
        <a:effectLst>
          <a:outerShdw blurRad="50800" dist="38100" dir="2700000" algn="tl" rotWithShape="0">
            <a:prstClr val="black">
              <a:alpha val="20000"/>
            </a:prstClr>
          </a:outerShdw>
        </a:effectLst>
      </c:spPr>
    </c:plotArea>
    <c:plotVisOnly val="0"/>
    <c:dispBlanksAs val="gap"/>
    <c:showDLblsOverMax val="0"/>
    <c:extLst>
      <c:ext uri="{0b15fc19-7d7d-44ad-8c2d-2c3a37ce22c3}">
        <chartProps xmlns="https://web.wps.cn/et/2018/main" chartId="{b0df5889-3ce1-4caf-9a99-fe556244c288}"/>
      </c:ext>
    </c:extLst>
  </c:chart>
  <c:spPr>
    <a:gradFill>
      <a:gsLst>
        <a:gs pos="50410">
          <a:srgbClr val="1F1F1F"/>
        </a:gs>
        <a:gs pos="0">
          <a:srgbClr val="020202"/>
        </a:gs>
        <a:gs pos="100000">
          <a:srgbClr val="424242"/>
        </a:gs>
      </a:gsLst>
      <a:lin ang="5400000" scaled="1"/>
    </a:gradFill>
    <a:ln w="6350" cap="rnd" cmpd="sng" algn="ctr">
      <a:solidFill>
        <a:schemeClr val="tx1">
          <a:lumMod val="50000"/>
          <a:lumOff val="50000"/>
          <a:alpha val="25000"/>
        </a:schemeClr>
      </a:solidFill>
      <a:round/>
    </a:ln>
    <a:effectLst>
      <a:outerShdw blurRad="63500" dist="37357" dir="2700000" sx="0" sy="0" rotWithShape="0">
        <a:scrgbClr r="0" g="0" b="0"/>
      </a:outerShdw>
    </a:effectLst>
  </c:spPr>
  <c:txPr>
    <a:bodyPr/>
    <a:lstStyle/>
    <a:p>
      <a:pPr>
        <a:defRPr lang="zh-CN" sz="1100">
          <a:solidFill>
            <a:schemeClr val="bg1"/>
          </a:solidFill>
          <a:latin typeface="微软雅黑" panose="020B0503020204020204" charset="-122"/>
          <a:ea typeface="微软雅黑" panose="020B0503020204020204" charset="-122"/>
          <a:cs typeface="微软雅黑" panose="020B0503020204020204" charset="-122"/>
          <a:sym typeface="微软雅黑" panose="020B0503020204020204" charset="-122"/>
        </a:defRPr>
      </a:pPr>
    </a:p>
  </c:txPr>
  <c:externalData r:id="rId1">
    <c:autoUpdate val="0"/>
  </c:externalData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0" vertOverflow="ellipsis" vert="horz" wrap="square" anchor="ctr" anchorCtr="1" forceAA="0"/>
          <a:lstStyle/>
          <a:p>
            <a:pPr>
              <a:defRPr lang="zh-CN" sz="1320" b="0" i="0" u="none" strike="noStrike" kern="1200" spc="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  <a:r>
              <a:rPr sz="1320">
                <a:solidFill>
                  <a:schemeClr val="bg1"/>
                </a:solidFill>
              </a:rPr>
              <a:t>个人</a:t>
            </a:r>
            <a:r>
              <a:rPr lang="en-US" altLang="zh-CN" sz="1320">
                <a:solidFill>
                  <a:schemeClr val="bg1"/>
                </a:solidFill>
              </a:rPr>
              <a:t>NGS</a:t>
            </a:r>
            <a:r>
              <a:rPr sz="1320">
                <a:solidFill>
                  <a:schemeClr val="bg1"/>
                </a:solidFill>
              </a:rPr>
              <a:t>客户开发月度达成趋势图</a:t>
            </a:r>
            <a:endParaRPr sz="1320">
              <a:solidFill>
                <a:schemeClr val="bg1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'1）年度指标达成情况'!$B$263</c:f>
              <c:strCache>
                <c:ptCount val="1"/>
                <c:pt idx="0">
                  <c:v>刘虹晶</c:v>
                </c:pt>
              </c:strCache>
            </c:strRef>
          </c:tx>
          <c:spPr>
            <a:ln w="25400" cap="rnd" cmpd="sng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8"/>
            <c:spPr>
              <a:solidFill>
                <a:schemeClr val="accent1"/>
              </a:solidFill>
              <a:ln w="15875">
                <a:noFill/>
              </a:ln>
              <a:effectLst/>
            </c:spPr>
          </c:marker>
          <c:dLbls>
            <c:delete val="1"/>
          </c:dLbls>
          <c:cat>
            <c:strRef>
              <c:f>'1）年度指标达成情况'!$C$262:$N$262</c:f>
              <c:strCache>
                <c:ptCount val="12"/>
                <c:pt idx="0">
                  <c:v>1月</c:v>
                </c:pt>
                <c:pt idx="1" c:formatCode="0_ ">
                  <c:v>2月</c:v>
                </c:pt>
                <c:pt idx="2" c:formatCode="0_ ">
                  <c:v>3月</c:v>
                </c:pt>
                <c:pt idx="3">
                  <c:v>4月</c:v>
                </c:pt>
                <c:pt idx="4" c:formatCode="0_ ">
                  <c:v>5月</c:v>
                </c:pt>
                <c:pt idx="5" c:formatCode="0_ ">
                  <c:v>6月</c:v>
                </c:pt>
                <c:pt idx="6">
                  <c:v>7月</c:v>
                </c:pt>
                <c:pt idx="7" c:formatCode="0.00_ ">
                  <c:v>8月</c:v>
                </c:pt>
                <c:pt idx="8">
                  <c:v>9月</c:v>
                </c:pt>
                <c:pt idx="9">
                  <c:v>10月</c:v>
                </c:pt>
                <c:pt idx="10" c:formatCode="0.00_ ">
                  <c:v>11月</c:v>
                </c:pt>
                <c:pt idx="11" c:formatCode="0.00_ ">
                  <c:v>12月</c:v>
                </c:pt>
              </c:strCache>
            </c:strRef>
          </c:cat>
          <c:val>
            <c:numRef>
              <c:f>'1）年度指标达成情况'!$C$263:$N$263</c:f>
              <c:numCache>
                <c:formatCode>General</c:formatCode>
                <c:ptCount val="12"/>
                <c:pt idx="0">
                  <c:v>0</c:v>
                </c:pt>
                <c:pt idx="1" c:formatCode="0_ ">
                  <c:v>0</c:v>
                </c:pt>
                <c:pt idx="2" c:formatCode="0_ ">
                  <c:v>0</c:v>
                </c:pt>
                <c:pt idx="3">
                  <c:v>0</c:v>
                </c:pt>
                <c:pt idx="4" c:formatCode="0_ ">
                  <c:v>0</c:v>
                </c:pt>
                <c:pt idx="5" c:formatCode="0_ ">
                  <c:v>0</c:v>
                </c:pt>
                <c:pt idx="6">
                  <c:v>0</c:v>
                </c:pt>
                <c:pt idx="7" c:formatCode="0.00_ ">
                  <c:v>0</c:v>
                </c:pt>
                <c:pt idx="8">
                  <c:v>0</c:v>
                </c:pt>
                <c:pt idx="9">
                  <c:v>0</c:v>
                </c:pt>
                <c:pt idx="10" c:formatCode="0.00_ ">
                  <c:v>0</c:v>
                </c:pt>
                <c:pt idx="11" c:formatCode="0.00_ 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1543962"/>
        <c:axId val="229128653"/>
      </c:lineChart>
      <c:catAx>
        <c:axId val="57154396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50000"/>
                  <a:lumOff val="50000"/>
                  <a:alpha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lumMod val="50000"/>
                <a:lumOff val="50000"/>
                <a:alpha val="2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1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229128653"/>
        <c:crosses val="autoZero"/>
        <c:auto val="1"/>
        <c:lblAlgn val="ctr"/>
        <c:lblOffset val="100"/>
        <c:noMultiLvlLbl val="0"/>
      </c:catAx>
      <c:valAx>
        <c:axId val="229128653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tx1">
                  <a:lumMod val="50000"/>
                  <a:lumOff val="50000"/>
                  <a:alpha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1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571543962"/>
        <c:crosses val="autoZero"/>
        <c:crossBetween val="between"/>
      </c:valAx>
      <c:spPr>
        <a:noFill/>
        <a:ln>
          <a:noFill/>
        </a:ln>
        <a:effectLst>
          <a:outerShdw blurRad="50800" dist="38100" dir="2700000" algn="tl" rotWithShape="0">
            <a:prstClr val="black">
              <a:alpha val="20000"/>
            </a:prstClr>
          </a:outerShdw>
        </a:effectLst>
      </c:spPr>
    </c:plotArea>
    <c:plotVisOnly val="0"/>
    <c:dispBlanksAs val="gap"/>
    <c:showDLblsOverMax val="0"/>
    <c:extLst>
      <c:ext uri="{0b15fc19-7d7d-44ad-8c2d-2c3a37ce22c3}">
        <chartProps xmlns="https://web.wps.cn/et/2018/main" chartId="{b0df5889-3ce1-4caf-9a99-fe556244c288}"/>
      </c:ext>
    </c:extLst>
  </c:chart>
  <c:spPr>
    <a:gradFill>
      <a:gsLst>
        <a:gs pos="50410">
          <a:srgbClr val="1F1F1F"/>
        </a:gs>
        <a:gs pos="0">
          <a:srgbClr val="020202"/>
        </a:gs>
        <a:gs pos="100000">
          <a:srgbClr val="424242"/>
        </a:gs>
      </a:gsLst>
      <a:lin ang="5400000" scaled="1"/>
    </a:gradFill>
    <a:ln w="6350" cap="rnd" cmpd="sng" algn="ctr">
      <a:solidFill>
        <a:schemeClr val="tx1">
          <a:lumMod val="50000"/>
          <a:lumOff val="50000"/>
          <a:alpha val="25000"/>
        </a:schemeClr>
      </a:solidFill>
      <a:round/>
    </a:ln>
    <a:effectLst>
      <a:outerShdw blurRad="63500" dist="37357" dir="2700000" sx="0" sy="0" rotWithShape="0">
        <a:scrgbClr r="0" g="0" b="0"/>
      </a:outerShdw>
    </a:effectLst>
  </c:spPr>
  <c:txPr>
    <a:bodyPr/>
    <a:lstStyle/>
    <a:p>
      <a:pPr>
        <a:defRPr lang="zh-CN" sz="1100">
          <a:solidFill>
            <a:schemeClr val="bg1"/>
          </a:solidFill>
          <a:latin typeface="微软雅黑" panose="020B0503020204020204" charset="-122"/>
          <a:ea typeface="微软雅黑" panose="020B0503020204020204" charset="-122"/>
          <a:cs typeface="微软雅黑" panose="020B0503020204020204" charset="-122"/>
          <a:sym typeface="微软雅黑" panose="020B0503020204020204" charset="-122"/>
        </a:defRPr>
      </a:pPr>
    </a:p>
  </c:txPr>
  <c:externalData r:id="rId1">
    <c:autoUpdate val="0"/>
  </c:externalData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0" vertOverflow="ellipsis" vert="horz" wrap="square" anchor="ctr" anchorCtr="1" forceAA="0"/>
          <a:lstStyle/>
          <a:p>
            <a:pPr>
              <a:defRPr lang="zh-CN" sz="144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  <a:r>
              <a:rPr sz="1440"/>
              <a:t>部门测试单发放同比趋势图</a:t>
            </a:r>
            <a:endParaRPr sz="1440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'3）过程同比分析'!$A$6</c:f>
              <c:strCache>
                <c:ptCount val="1"/>
                <c:pt idx="0">
                  <c:v>2026年实绩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'3）过程同比分析'!$B$5:$M$5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'3）过程同比分析'!$B$6:$M$6</c:f>
              <c:numCache>
                <c:formatCode>General</c:formatCode>
                <c:ptCount val="12"/>
                <c:pt idx="0">
                  <c:v>231</c:v>
                </c:pt>
                <c:pt idx="1">
                  <c:v>153</c:v>
                </c:pt>
                <c:pt idx="2">
                  <c:v>270</c:v>
                </c:pt>
                <c:pt idx="3">
                  <c:v>231</c:v>
                </c:pt>
                <c:pt idx="4">
                  <c:v>224</c:v>
                </c:pt>
                <c:pt idx="5">
                  <c:v>229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'3）过程同比分析'!$A$7</c:f>
              <c:strCache>
                <c:ptCount val="1"/>
                <c:pt idx="0">
                  <c:v>2025年数据</c:v>
                </c:pt>
              </c:strCache>
            </c:strRef>
          </c:tx>
          <c:spPr>
            <a:solidFill>
              <a:srgbClr val="0407A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'3）过程同比分析'!$B$5:$M$5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'3）过程同比分析'!$B$7:$M$7</c:f>
              <c:numCache>
                <c:formatCode>General</c:formatCode>
                <c:ptCount val="12"/>
                <c:pt idx="0">
                  <c:v>149</c:v>
                </c:pt>
                <c:pt idx="1">
                  <c:v>212</c:v>
                </c:pt>
                <c:pt idx="2">
                  <c:v>270</c:v>
                </c:pt>
                <c:pt idx="3">
                  <c:v>268</c:v>
                </c:pt>
                <c:pt idx="4">
                  <c:v>241</c:v>
                </c:pt>
                <c:pt idx="5">
                  <c:v>217</c:v>
                </c:pt>
                <c:pt idx="6">
                  <c:v>285</c:v>
                </c:pt>
                <c:pt idx="7">
                  <c:v>231</c:v>
                </c:pt>
                <c:pt idx="8">
                  <c:v>215</c:v>
                </c:pt>
                <c:pt idx="9">
                  <c:v>184</c:v>
                </c:pt>
                <c:pt idx="10">
                  <c:v>207</c:v>
                </c:pt>
                <c:pt idx="11">
                  <c:v>235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6"/>
        <c:overlap val="-28"/>
        <c:axId val="670298803"/>
        <c:axId val="723930548"/>
      </c:barChart>
      <c:catAx>
        <c:axId val="6702988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50000"/>
                <a:lumOff val="50000"/>
                <a:alpha val="2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2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723930548"/>
        <c:crosses val="autoZero"/>
        <c:auto val="1"/>
        <c:lblAlgn val="ctr"/>
        <c:lblOffset val="100"/>
        <c:noMultiLvlLbl val="0"/>
      </c:catAx>
      <c:valAx>
        <c:axId val="7239305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2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670298803"/>
        <c:crosses val="autoZero"/>
        <c:crossBetween val="between"/>
      </c:valAx>
      <c:spPr>
        <a:gradFill>
          <a:gsLst>
            <a:gs pos="0">
              <a:schemeClr val="bg1">
                <a:lumMod val="95000"/>
              </a:schemeClr>
            </a:gs>
            <a:gs pos="53000">
              <a:schemeClr val="bg1">
                <a:lumMod val="85000"/>
              </a:schemeClr>
            </a:gs>
            <a:gs pos="100000">
              <a:schemeClr val="bg1">
                <a:lumMod val="75000"/>
              </a:schemeClr>
            </a:gs>
          </a:gsLst>
          <a:lin ang="5400000" scaled="1"/>
        </a:gradFill>
        <a:ln>
          <a:noFill/>
        </a:ln>
        <a:effectLst/>
      </c:spPr>
    </c:plotArea>
    <c:legend>
      <c:legendPos val="b"/>
      <c:legendEntry>
        <c:idx val="0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</c:legendEntry>
      <c:legendEntry>
        <c:idx val="1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</c:legendEntry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 forceAA="0"/>
        <a:lstStyle/>
        <a:p>
          <a:pPr>
            <a:defRPr lang="zh-CN" sz="12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微软雅黑" panose="020B0503020204020204" charset="-122"/>
              <a:ea typeface="微软雅黑" panose="020B0503020204020204" charset="-122"/>
              <a:cs typeface="微软雅黑" panose="020B0503020204020204" charset="-122"/>
              <a:sym typeface="微软雅黑" panose="020B0503020204020204" charset="-122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1903bd2a-bb0a-4e6a-b64f-0a630e196f95}"/>
      </c:ext>
    </c:extLst>
  </c:chart>
  <c:spPr>
    <a:solidFill>
      <a:schemeClr val="bg1"/>
    </a:solidFill>
    <a:ln w="9525" cap="flat" cmpd="sng" algn="ctr">
      <a:solidFill>
        <a:schemeClr val="tx1">
          <a:lumMod val="50000"/>
          <a:lumOff val="50000"/>
          <a:alpha val="25000"/>
        </a:schemeClr>
      </a:solidFill>
      <a:round/>
    </a:ln>
    <a:effectLst/>
  </c:spPr>
  <c:txPr>
    <a:bodyPr/>
    <a:lstStyle/>
    <a:p>
      <a:pPr>
        <a:defRPr lang="zh-CN" sz="1200">
          <a:solidFill>
            <a:schemeClr val="tx1">
              <a:lumMod val="75000"/>
              <a:lumOff val="25000"/>
            </a:schemeClr>
          </a:solidFill>
          <a:latin typeface="微软雅黑" panose="020B0503020204020204" charset="-122"/>
          <a:ea typeface="微软雅黑" panose="020B0503020204020204" charset="-122"/>
          <a:cs typeface="微软雅黑" panose="020B0503020204020204" charset="-122"/>
          <a:sym typeface="微软雅黑" panose="020B0503020204020204" charset="-122"/>
        </a:defRPr>
      </a:pPr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0" vertOverflow="ellipsis" vert="horz" wrap="square" anchor="ctr" anchorCtr="1" forceAA="0"/>
          <a:lstStyle/>
          <a:p>
            <a:pPr>
              <a:defRPr lang="zh-CN" sz="14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  <a:r>
              <a:t>部门月度销售额同比趋势图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'3）过程同比分析'!$A$52</c:f>
              <c:strCache>
                <c:ptCount val="1"/>
                <c:pt idx="0">
                  <c:v>2026年销售额</c:v>
                </c:pt>
              </c:strCache>
            </c:strRef>
          </c:tx>
          <c:spPr>
            <a:solidFill>
              <a:srgbClr val="44546A"/>
            </a:solidFill>
            <a:ln>
              <a:noFill/>
            </a:ln>
            <a:effectLst>
              <a:outerShdw blurRad="50800" dist="25400" dir="2700000" algn="tl" rotWithShape="0">
                <a:schemeClr val="accent1">
                  <a:lumMod val="75000"/>
                  <a:alpha val="30000"/>
                </a:scheme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rgbClr val="44546A"/>
              </a:solidFill>
              <a:ln>
                <a:noFill/>
              </a:ln>
              <a:effectLst>
                <a:outerShdw blurRad="50800" dist="25400" dir="2700000" algn="tl" rotWithShape="0">
                  <a:schemeClr val="accent1">
                    <a:lumMod val="75000"/>
                    <a:alpha val="30000"/>
                  </a:schemeClr>
                </a:outerShdw>
              </a:effectLst>
            </c:spPr>
          </c:dPt>
          <c:dLbls>
            <c:dLbl>
              <c:idx val="0"/>
              <c:layout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'3）过程同比分析'!$B$51:$M$51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'3）过程同比分析'!$B$52:$M$52</c:f>
              <c:numCache>
                <c:formatCode>0.00_);[Red]\(0.00\)</c:formatCode>
                <c:ptCount val="12"/>
                <c:pt idx="0">
                  <c:v>3437599.3</c:v>
                </c:pt>
                <c:pt idx="1">
                  <c:v>921263.4</c:v>
                </c:pt>
                <c:pt idx="2">
                  <c:v>1956623</c:v>
                </c:pt>
                <c:pt idx="3">
                  <c:v>2262177.96</c:v>
                </c:pt>
                <c:pt idx="4">
                  <c:v>2415638.4</c:v>
                </c:pt>
                <c:pt idx="5">
                  <c:v>2543097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'3）过程同比分析'!$A$53</c:f>
              <c:strCache>
                <c:ptCount val="1"/>
                <c:pt idx="0">
                  <c:v>2025销售额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0800" dist="25400" dir="2700000" algn="tl" rotWithShape="0">
                <a:schemeClr val="accent2">
                  <a:lumMod val="75000"/>
                  <a:alpha val="30000"/>
                </a:scheme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'3）过程同比分析'!$B$51:$M$51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'3）过程同比分析'!$B$53:$M$53</c:f>
              <c:numCache>
                <c:formatCode>0.00_ </c:formatCode>
                <c:ptCount val="12"/>
                <c:pt idx="0">
                  <c:v>1280466.3</c:v>
                </c:pt>
                <c:pt idx="1">
                  <c:v>1194208.116</c:v>
                </c:pt>
                <c:pt idx="2" c:formatCode="General">
                  <c:v>1534153.859</c:v>
                </c:pt>
                <c:pt idx="3" c:formatCode="General">
                  <c:v>1291011.863</c:v>
                </c:pt>
                <c:pt idx="4" c:formatCode="General">
                  <c:v>1388758.72</c:v>
                </c:pt>
                <c:pt idx="5">
                  <c:v>1520638.78</c:v>
                </c:pt>
                <c:pt idx="6" c:formatCode="0_ ">
                  <c:v>2180425.9</c:v>
                </c:pt>
                <c:pt idx="7">
                  <c:v>2694977.961</c:v>
                </c:pt>
                <c:pt idx="8">
                  <c:v>2769274.57</c:v>
                </c:pt>
                <c:pt idx="9">
                  <c:v>2222552.84</c:v>
                </c:pt>
                <c:pt idx="10">
                  <c:v>2097398.112</c:v>
                </c:pt>
                <c:pt idx="11">
                  <c:v>3349813.2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6"/>
        <c:overlap val="-28"/>
        <c:axId val="685996195"/>
        <c:axId val="309693590"/>
      </c:barChart>
      <c:catAx>
        <c:axId val="6859961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solidFill>
              <a:schemeClr val="tx1">
                <a:lumMod val="50000"/>
                <a:lumOff val="50000"/>
                <a:alpha val="2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309693590"/>
        <c:crosses val="autoZero"/>
        <c:auto val="1"/>
        <c:lblAlgn val="ctr"/>
        <c:lblOffset val="100"/>
        <c:noMultiLvlLbl val="0"/>
      </c:catAx>
      <c:valAx>
        <c:axId val="309693590"/>
        <c:scaling>
          <c:orientation val="minMax"/>
        </c:scaling>
        <c:delete val="0"/>
        <c:axPos val="l"/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6859961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 forceAA="0"/>
        <a:lstStyle/>
        <a:p>
          <a:pPr>
            <a:defRPr lang="zh-CN" sz="9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微软雅黑" panose="020B0503020204020204" charset="-122"/>
              <a:ea typeface="微软雅黑" panose="020B0503020204020204" charset="-122"/>
              <a:cs typeface="微软雅黑" panose="020B0503020204020204" charset="-122"/>
              <a:sym typeface="微软雅黑" panose="020B0503020204020204" charset="-122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8d10ccb6-c2ae-42a6-910c-d55d894a7af8}"/>
      </c:ext>
    </c:extLst>
  </c:chart>
  <c:spPr>
    <a:solidFill>
      <a:schemeClr val="bg1"/>
    </a:solidFill>
    <a:ln w="6350" cap="flat" cmpd="sng" algn="ctr">
      <a:solidFill>
        <a:schemeClr val="tx1">
          <a:lumMod val="50000"/>
          <a:lumOff val="50000"/>
          <a:alpha val="25000"/>
        </a:schemeClr>
      </a:solidFill>
      <a:round/>
    </a:ln>
    <a:effectLst/>
  </c:spPr>
  <c:txPr>
    <a:bodyPr/>
    <a:lstStyle/>
    <a:p>
      <a:pPr>
        <a:defRPr lang="zh-CN">
          <a:solidFill>
            <a:schemeClr val="tx1">
              <a:lumMod val="75000"/>
              <a:lumOff val="25000"/>
            </a:schemeClr>
          </a:solidFill>
          <a:latin typeface="微软雅黑" panose="020B0503020204020204" charset="-122"/>
          <a:ea typeface="微软雅黑" panose="020B0503020204020204" charset="-122"/>
          <a:cs typeface="微软雅黑" panose="020B0503020204020204" charset="-122"/>
          <a:sym typeface="微软雅黑" panose="020B0503020204020204" charset="-122"/>
        </a:defRPr>
      </a:pPr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0" vertOverflow="ellipsis" vert="horz" wrap="square" anchor="ctr" anchorCtr="1" forceAA="0"/>
          <a:lstStyle/>
          <a:p>
            <a:pPr>
              <a:defRPr lang="zh-CN" sz="144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  <a:r>
              <a:rPr sz="1440"/>
              <a:t>个人测试单发放同比趋势图</a:t>
            </a:r>
            <a:endParaRPr sz="1440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'3）过程同比分析'!$A$36</c:f>
              <c:strCache>
                <c:ptCount val="1"/>
                <c:pt idx="0">
                  <c:v>2026年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'3）过程同比分析'!$B$35:$M$35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'3）过程同比分析'!$B$36:$M$36</c:f>
              <c:numCache>
                <c:formatCode>General</c:formatCode>
                <c:ptCount val="12"/>
                <c:pt idx="0">
                  <c:v>24</c:v>
                </c:pt>
                <c:pt idx="1">
                  <c:v>2</c:v>
                </c:pt>
                <c:pt idx="2">
                  <c:v>29</c:v>
                </c:pt>
                <c:pt idx="3">
                  <c:v>27</c:v>
                </c:pt>
                <c:pt idx="4">
                  <c:v>27</c:v>
                </c:pt>
                <c:pt idx="5">
                  <c:v>24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'3）过程同比分析'!$A$37</c:f>
              <c:strCache>
                <c:ptCount val="1"/>
                <c:pt idx="0">
                  <c:v>2025年</c:v>
                </c:pt>
              </c:strCache>
            </c:strRef>
          </c:tx>
          <c:spPr>
            <a:solidFill>
              <a:srgbClr val="0407A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'3）过程同比分析'!$B$35:$M$35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'3）过程同比分析'!$B$37:$M$37</c:f>
              <c:numCache>
                <c:formatCode>General</c:formatCode>
                <c:ptCount val="12"/>
                <c:pt idx="0">
                  <c:v>12</c:v>
                </c:pt>
                <c:pt idx="1">
                  <c:v>21</c:v>
                </c:pt>
                <c:pt idx="2">
                  <c:v>24</c:v>
                </c:pt>
                <c:pt idx="3">
                  <c:v>23</c:v>
                </c:pt>
                <c:pt idx="4">
                  <c:v>17</c:v>
                </c:pt>
                <c:pt idx="5">
                  <c:v>22</c:v>
                </c:pt>
                <c:pt idx="6">
                  <c:v>24</c:v>
                </c:pt>
                <c:pt idx="7">
                  <c:v>19</c:v>
                </c:pt>
                <c:pt idx="8">
                  <c:v>20</c:v>
                </c:pt>
                <c:pt idx="9">
                  <c:v>10</c:v>
                </c:pt>
                <c:pt idx="10">
                  <c:v>20</c:v>
                </c:pt>
                <c:pt idx="11">
                  <c:v>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6"/>
        <c:overlap val="-28"/>
        <c:axId val="670298803"/>
        <c:axId val="723930548"/>
      </c:barChart>
      <c:catAx>
        <c:axId val="6702988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50000"/>
                <a:lumOff val="50000"/>
                <a:alpha val="2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2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723930548"/>
        <c:crosses val="autoZero"/>
        <c:auto val="1"/>
        <c:lblAlgn val="ctr"/>
        <c:lblOffset val="100"/>
        <c:noMultiLvlLbl val="0"/>
      </c:catAx>
      <c:valAx>
        <c:axId val="7239305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2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670298803"/>
        <c:crosses val="autoZero"/>
        <c:crossBetween val="between"/>
      </c:valAx>
      <c:spPr>
        <a:gradFill>
          <a:gsLst>
            <a:gs pos="0">
              <a:schemeClr val="bg1">
                <a:lumMod val="95000"/>
              </a:schemeClr>
            </a:gs>
            <a:gs pos="53000">
              <a:schemeClr val="bg1">
                <a:lumMod val="85000"/>
              </a:schemeClr>
            </a:gs>
            <a:gs pos="100000">
              <a:schemeClr val="bg1">
                <a:lumMod val="75000"/>
              </a:schemeClr>
            </a:gs>
          </a:gsLst>
          <a:lin ang="5400000" scaled="1"/>
        </a:gradFill>
        <a:ln>
          <a:noFill/>
        </a:ln>
        <a:effectLst/>
      </c:spPr>
    </c:plotArea>
    <c:legend>
      <c:legendPos val="b"/>
      <c:legendEntry>
        <c:idx val="0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</c:legendEntry>
      <c:legendEntry>
        <c:idx val="1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</c:legendEntry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 forceAA="0"/>
        <a:lstStyle/>
        <a:p>
          <a:pPr>
            <a:defRPr lang="zh-CN" sz="12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微软雅黑" panose="020B0503020204020204" charset="-122"/>
              <a:ea typeface="微软雅黑" panose="020B0503020204020204" charset="-122"/>
              <a:cs typeface="微软雅黑" panose="020B0503020204020204" charset="-122"/>
              <a:sym typeface="微软雅黑" panose="020B0503020204020204" charset="-122"/>
            </a:defRPr>
          </a:pPr>
        </a:p>
      </c:txPr>
    </c:legend>
    <c:plotVisOnly val="0"/>
    <c:dispBlanksAs val="gap"/>
    <c:showDLblsOverMax val="0"/>
    <c:extLst>
      <c:ext uri="{0b15fc19-7d7d-44ad-8c2d-2c3a37ce22c3}">
        <chartProps xmlns="https://web.wps.cn/et/2018/main" chartId="{1903bd2a-bb0a-4e6a-b64f-0a630e196f95}"/>
      </c:ext>
    </c:extLst>
  </c:chart>
  <c:spPr>
    <a:solidFill>
      <a:schemeClr val="bg1"/>
    </a:solidFill>
    <a:ln w="9525" cap="flat" cmpd="sng" algn="ctr">
      <a:solidFill>
        <a:schemeClr val="tx1">
          <a:lumMod val="50000"/>
          <a:lumOff val="50000"/>
          <a:alpha val="25000"/>
        </a:schemeClr>
      </a:solidFill>
      <a:round/>
    </a:ln>
    <a:effectLst/>
  </c:spPr>
  <c:txPr>
    <a:bodyPr/>
    <a:lstStyle/>
    <a:p>
      <a:pPr>
        <a:defRPr lang="zh-CN" sz="1200">
          <a:solidFill>
            <a:schemeClr val="tx1">
              <a:lumMod val="75000"/>
              <a:lumOff val="25000"/>
            </a:schemeClr>
          </a:solidFill>
          <a:latin typeface="微软雅黑" panose="020B0503020204020204" charset="-122"/>
          <a:ea typeface="微软雅黑" panose="020B0503020204020204" charset="-122"/>
          <a:cs typeface="微软雅黑" panose="020B0503020204020204" charset="-122"/>
          <a:sym typeface="微软雅黑" panose="020B0503020204020204" charset="-122"/>
        </a:defRPr>
      </a:pPr>
    </a:p>
  </c:txPr>
  <c:externalData r:id="rId1">
    <c:autoUpdate val="0"/>
  </c:externalData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0" vertOverflow="ellipsis" vert="horz" wrap="square" anchor="ctr" anchorCtr="1" forceAA="0"/>
          <a:lstStyle/>
          <a:p>
            <a:pPr>
              <a:defRPr lang="zh-CN" sz="14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  <a:r>
              <a:t>个人月度销售额同比趋势图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'3）过程同比分析'!$A$85</c:f>
              <c:strCache>
                <c:ptCount val="1"/>
                <c:pt idx="0">
                  <c:v>2026年</c:v>
                </c:pt>
              </c:strCache>
            </c:strRef>
          </c:tx>
          <c:spPr>
            <a:solidFill>
              <a:srgbClr val="44546A"/>
            </a:solidFill>
            <a:ln>
              <a:noFill/>
            </a:ln>
            <a:effectLst>
              <a:outerShdw blurRad="50800" dist="25400" dir="2700000" algn="tl" rotWithShape="0">
                <a:schemeClr val="accent1">
                  <a:lumMod val="75000"/>
                  <a:alpha val="30000"/>
                </a:scheme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rgbClr val="44546A"/>
              </a:solidFill>
              <a:ln>
                <a:noFill/>
              </a:ln>
              <a:effectLst>
                <a:outerShdw blurRad="50800" dist="25400" dir="2700000" algn="tl" rotWithShape="0">
                  <a:schemeClr val="accent1">
                    <a:lumMod val="75000"/>
                    <a:alpha val="30000"/>
                  </a:schemeClr>
                </a:outerShdw>
              </a:effectLst>
            </c:spPr>
          </c:dPt>
          <c:dLbls>
            <c:dLbl>
              <c:idx val="0"/>
              <c:layout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'3）过程同比分析'!$B$84:$M$84</c:f>
              <c:strCache>
                <c:ptCount val="12"/>
                <c:pt idx="0">
                  <c:v>1月</c:v>
                </c:pt>
                <c:pt idx="1">
                  <c:v>2月</c:v>
                </c:pt>
                <c:pt idx="2" c:formatCode="0_ ">
                  <c:v>3月</c:v>
                </c:pt>
                <c:pt idx="3" c:formatCode="0_ ">
                  <c:v>4月</c:v>
                </c:pt>
                <c:pt idx="4" c:formatCode="0_ 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'3）过程同比分析'!$B$85:$M$85</c:f>
              <c:numCache>
                <c:formatCode>General</c:formatCode>
                <c:ptCount val="12"/>
                <c:pt idx="0">
                  <c:v>478815</c:v>
                </c:pt>
                <c:pt idx="1">
                  <c:v>228431</c:v>
                </c:pt>
                <c:pt idx="2" c:formatCode="0_ ">
                  <c:v>392192</c:v>
                </c:pt>
                <c:pt idx="3" c:formatCode="0_ ">
                  <c:v>461507</c:v>
                </c:pt>
                <c:pt idx="4" c:formatCode="0_ ">
                  <c:v>868140</c:v>
                </c:pt>
                <c:pt idx="5">
                  <c:v>1250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'3）过程同比分析'!$A$86</c:f>
              <c:strCache>
                <c:ptCount val="1"/>
                <c:pt idx="0">
                  <c:v>2025年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0800" dist="25400" dir="2700000" algn="tl" rotWithShape="0">
                <a:schemeClr val="accent2">
                  <a:lumMod val="75000"/>
                  <a:alpha val="30000"/>
                </a:scheme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'3）过程同比分析'!$B$84:$M$84</c:f>
              <c:strCache>
                <c:ptCount val="12"/>
                <c:pt idx="0">
                  <c:v>1月</c:v>
                </c:pt>
                <c:pt idx="1">
                  <c:v>2月</c:v>
                </c:pt>
                <c:pt idx="2" c:formatCode="0_ ">
                  <c:v>3月</c:v>
                </c:pt>
                <c:pt idx="3" c:formatCode="0_ ">
                  <c:v>4月</c:v>
                </c:pt>
                <c:pt idx="4" c:formatCode="0_ 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'3）过程同比分析'!$B$86:$M$86</c:f>
              <c:numCache>
                <c:formatCode>General</c:formatCode>
                <c:ptCount val="12"/>
                <c:pt idx="0">
                  <c:v>36286</c:v>
                </c:pt>
                <c:pt idx="1">
                  <c:v>137020</c:v>
                </c:pt>
                <c:pt idx="2" c:formatCode="0_ ">
                  <c:v>78510</c:v>
                </c:pt>
                <c:pt idx="3" c:formatCode="0_ ">
                  <c:v>95660</c:v>
                </c:pt>
                <c:pt idx="4" c:formatCode="0_ ">
                  <c:v>170548.62</c:v>
                </c:pt>
                <c:pt idx="5">
                  <c:v>163718</c:v>
                </c:pt>
                <c:pt idx="6">
                  <c:v>380420</c:v>
                </c:pt>
                <c:pt idx="7">
                  <c:v>179940</c:v>
                </c:pt>
                <c:pt idx="8">
                  <c:v>450990.5</c:v>
                </c:pt>
                <c:pt idx="9">
                  <c:v>218883.2</c:v>
                </c:pt>
                <c:pt idx="10">
                  <c:v>212406.8</c:v>
                </c:pt>
                <c:pt idx="11">
                  <c:v>339187.2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6"/>
        <c:overlap val="-28"/>
        <c:axId val="685996195"/>
        <c:axId val="309693590"/>
      </c:barChart>
      <c:catAx>
        <c:axId val="6859961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solidFill>
              <a:schemeClr val="tx1">
                <a:lumMod val="50000"/>
                <a:lumOff val="50000"/>
                <a:alpha val="2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309693590"/>
        <c:crosses val="autoZero"/>
        <c:auto val="1"/>
        <c:lblAlgn val="ctr"/>
        <c:lblOffset val="100"/>
        <c:noMultiLvlLbl val="0"/>
      </c:catAx>
      <c:valAx>
        <c:axId val="30969359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6859961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 forceAA="0"/>
        <a:lstStyle/>
        <a:p>
          <a:pPr>
            <a:defRPr lang="zh-CN" sz="9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微软雅黑" panose="020B0503020204020204" charset="-122"/>
              <a:ea typeface="微软雅黑" panose="020B0503020204020204" charset="-122"/>
              <a:cs typeface="微软雅黑" panose="020B0503020204020204" charset="-122"/>
              <a:sym typeface="微软雅黑" panose="020B0503020204020204" charset="-122"/>
            </a:defRPr>
          </a:pPr>
        </a:p>
      </c:txPr>
    </c:legend>
    <c:plotVisOnly val="0"/>
    <c:dispBlanksAs val="gap"/>
    <c:showDLblsOverMax val="0"/>
    <c:extLst>
      <c:ext uri="{0b15fc19-7d7d-44ad-8c2d-2c3a37ce22c3}">
        <chartProps xmlns="https://web.wps.cn/et/2018/main" chartId="{8d10ccb6-c2ae-42a6-910c-d55d894a7af8}"/>
      </c:ext>
    </c:extLst>
  </c:chart>
  <c:spPr>
    <a:solidFill>
      <a:schemeClr val="bg1"/>
    </a:solidFill>
    <a:ln w="6350" cap="flat" cmpd="sng" algn="ctr">
      <a:solidFill>
        <a:schemeClr val="tx1">
          <a:lumMod val="50000"/>
          <a:lumOff val="50000"/>
          <a:alpha val="25000"/>
        </a:schemeClr>
      </a:solidFill>
      <a:round/>
    </a:ln>
    <a:effectLst/>
  </c:spPr>
  <c:txPr>
    <a:bodyPr/>
    <a:lstStyle/>
    <a:p>
      <a:pPr>
        <a:defRPr lang="zh-CN">
          <a:solidFill>
            <a:schemeClr val="tx1">
              <a:lumMod val="75000"/>
              <a:lumOff val="25000"/>
            </a:schemeClr>
          </a:solidFill>
          <a:latin typeface="微软雅黑" panose="020B0503020204020204" charset="-122"/>
          <a:ea typeface="微软雅黑" panose="020B0503020204020204" charset="-122"/>
          <a:cs typeface="微软雅黑" panose="020B0503020204020204" charset="-122"/>
          <a:sym typeface="微软雅黑" panose="020B0503020204020204" charset="-122"/>
        </a:defRPr>
      </a:pPr>
    </a:p>
  </c:txPr>
  <c:externalData r:id="rId1">
    <c:autoUpdate val="0"/>
  </c:externalData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100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10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10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1">
      <cs:styleClr val="auto"/>
    </cs:fillRef>
    <cs:effectRef idx="0"/>
    <cs:fontRef idx="minor">
      <a:schemeClr val="dk1"/>
    </cs:fontRef>
    <cs:spPr>
      <a:ln>
        <a:noFill/>
      </a:ln>
      <a:effectLst/>
    </cs:spPr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02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75000"/>
        <a:lumOff val="25000"/>
      </a:schemeClr>
    </cs:fontRef>
    <cs:defRPr sz="1400" b="1" kern="120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100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10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10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1">
      <cs:styleClr val="auto"/>
    </cs:fillRef>
    <cs:effectRef idx="0"/>
    <cs:fontRef idx="minor">
      <a:schemeClr val="dk1"/>
    </cs:fontRef>
    <cs:spPr>
      <a:ln>
        <a:noFill/>
      </a:ln>
      <a:effectLst/>
    </cs:spPr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02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75000"/>
        <a:lumOff val="25000"/>
      </a:schemeClr>
    </cs:fontRef>
    <cs:defRPr sz="1400" b="1" kern="120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100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10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10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1">
      <cs:styleClr val="auto"/>
    </cs:fillRef>
    <cs:effectRef idx="0"/>
    <cs:fontRef idx="minor">
      <a:schemeClr val="dk1"/>
    </cs:fontRef>
    <cs:spPr>
      <a:ln>
        <a:noFill/>
      </a:ln>
      <a:effectLst/>
    </cs:spPr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02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75000"/>
        <a:lumOff val="25000"/>
      </a:schemeClr>
    </cs:fontRef>
    <cs:defRPr sz="1400" b="1" kern="120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100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10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10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1">
      <cs:styleClr val="auto"/>
    </cs:fillRef>
    <cs:effectRef idx="0"/>
    <cs:fontRef idx="minor">
      <a:schemeClr val="dk1"/>
    </cs:fontRef>
    <cs:spPr>
      <a:ln>
        <a:noFill/>
      </a:ln>
      <a:effectLst/>
    </cs:spPr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02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75000"/>
        <a:lumOff val="25000"/>
      </a:schemeClr>
    </cs:fontRef>
    <cs:defRPr sz="1400" b="1" kern="120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x="16" fmlaLink="$B$83" fmlaRange="$B$69:$B$81" max="5" noThreeD="1" page="10" sel="2" val="0"/>
</file>

<file path=xl/ctrlProps/ctrlProp2.xml><?xml version="1.0" encoding="utf-8"?>
<formControlPr xmlns="http://schemas.microsoft.com/office/spreadsheetml/2009/9/main" objectType="CheckBox" fmlaLink="$O$110" val="0"/>
</file>

<file path=xl/ctrlProps/ctrlProp3.xml><?xml version="1.0" encoding="utf-8"?>
<formControlPr xmlns="http://schemas.microsoft.com/office/spreadsheetml/2009/9/main" objectType="CheckBox" checked="Checked" fmlaLink="$O$107" val="0"/>
</file>

<file path=xl/ctrlProps/ctrlProp4.xml><?xml version="1.0" encoding="utf-8"?>
<formControlPr xmlns="http://schemas.microsoft.com/office/spreadsheetml/2009/9/main" objectType="CheckBox" checked="Checked" fmlaLink="$O$108" val="0"/>
</file>

<file path=xl/ctrlProps/ctrlProp5.xml><?xml version="1.0" encoding="utf-8"?>
<formControlPr xmlns="http://schemas.microsoft.com/office/spreadsheetml/2009/9/main" objectType="CheckBox" fmlaLink="$O$109" val="0"/>
</file>

<file path=xl/ctrlProps/ctrlProp6.xml><?xml version="1.0" encoding="utf-8"?>
<formControlPr xmlns="http://schemas.microsoft.com/office/spreadsheetml/2009/9/main" objectType="Drop" dx="16" fmlaLink="$B$242" fmlaRange="$B$228:$B$240" max="5" noThreeD="1" page="10" sel="2" val="0"/>
</file>

<file path=xl/ctrlProps/ctrlProp7.xml><?xml version="1.0" encoding="utf-8"?>
<formControlPr xmlns="http://schemas.microsoft.com/office/spreadsheetml/2009/9/main" objectType="Drop" dx="16" fmlaLink="$B$261" fmlaRange="$B$248:$B$260" max="5" noThreeD="1" page="10" sel="2" val="0"/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4" Type="http://schemas.openxmlformats.org/officeDocument/2006/relationships/chart" Target="../charts/chart9.xml"/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76200</xdr:colOff>
      <xdr:row>7</xdr:row>
      <xdr:rowOff>104775</xdr:rowOff>
    </xdr:from>
    <xdr:to>
      <xdr:col>15</xdr:col>
      <xdr:colOff>1569085</xdr:colOff>
      <xdr:row>17</xdr:row>
      <xdr:rowOff>142240</xdr:rowOff>
    </xdr:to>
    <xdr:graphicFrame>
      <xdr:nvGraphicFramePr>
        <xdr:cNvPr id="6" name="图表 5" descr="7b0a202020202263686172745265734964223a20223530303533343139220a7d0a"/>
        <xdr:cNvGraphicFramePr/>
      </xdr:nvGraphicFramePr>
      <xdr:xfrm>
        <a:off x="76200" y="2860675"/>
        <a:ext cx="17142460" cy="346646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37465</xdr:colOff>
      <xdr:row>86</xdr:row>
      <xdr:rowOff>65405</xdr:rowOff>
    </xdr:from>
    <xdr:to>
      <xdr:col>15</xdr:col>
      <xdr:colOff>1586230</xdr:colOff>
      <xdr:row>94</xdr:row>
      <xdr:rowOff>316865</xdr:rowOff>
    </xdr:to>
    <xdr:graphicFrame>
      <xdr:nvGraphicFramePr>
        <xdr:cNvPr id="9" name="图表 8" descr="7b0a202020202263686172745265734964223a20223530303533343139220a7d0a"/>
        <xdr:cNvGraphicFramePr/>
      </xdr:nvGraphicFramePr>
      <xdr:xfrm>
        <a:off x="37465" y="19471005"/>
        <a:ext cx="17198340" cy="330581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501650</xdr:colOff>
          <xdr:row>86</xdr:row>
          <xdr:rowOff>161290</xdr:rowOff>
        </xdr:from>
        <xdr:to>
          <xdr:col>15</xdr:col>
          <xdr:colOff>1473835</xdr:colOff>
          <xdr:row>87</xdr:row>
          <xdr:rowOff>330200</xdr:rowOff>
        </xdr:to>
        <xdr:sp>
          <xdr:nvSpPr>
            <xdr:cNvPr id="38072" name="Drop Down 184" hidden="1">
              <a:extLst>
                <a:ext uri="{63B3BB69-23CF-44E3-9099-C40C66FF867C}">
                  <a14:compatExt spid="_x0000_s38072"/>
                </a:ext>
              </a:extLst>
            </xdr:cNvPr>
            <xdr:cNvSpPr/>
          </xdr:nvSpPr>
          <xdr:spPr>
            <a:xfrm>
              <a:off x="16151225" y="19566890"/>
              <a:ext cx="972185" cy="37846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72390</xdr:colOff>
      <xdr:row>118</xdr:row>
      <xdr:rowOff>24130</xdr:rowOff>
    </xdr:from>
    <xdr:to>
      <xdr:col>16</xdr:col>
      <xdr:colOff>35560</xdr:colOff>
      <xdr:row>132</xdr:row>
      <xdr:rowOff>1883410</xdr:rowOff>
    </xdr:to>
    <xdr:graphicFrame>
      <xdr:nvGraphicFramePr>
        <xdr:cNvPr id="10" name="图表 9" descr="7b0a202020202263686172745265734964223a20223530303533343139220a7d0a"/>
        <xdr:cNvGraphicFramePr/>
      </xdr:nvGraphicFramePr>
      <xdr:xfrm>
        <a:off x="72390" y="25887680"/>
        <a:ext cx="17219930" cy="504063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264</xdr:row>
      <xdr:rowOff>186055</xdr:rowOff>
    </xdr:from>
    <xdr:to>
      <xdr:col>9</xdr:col>
      <xdr:colOff>777875</xdr:colOff>
      <xdr:row>283</xdr:row>
      <xdr:rowOff>152400</xdr:rowOff>
    </xdr:to>
    <xdr:graphicFrame>
      <xdr:nvGraphicFramePr>
        <xdr:cNvPr id="11" name="图表 10" descr="7b0a202020202263686172745265734964223a20223530303533343139220a7d0a"/>
        <xdr:cNvGraphicFramePr/>
      </xdr:nvGraphicFramePr>
      <xdr:xfrm>
        <a:off x="9525" y="55316755"/>
        <a:ext cx="10097135" cy="394779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893445</xdr:colOff>
          <xdr:row>121</xdr:row>
          <xdr:rowOff>99695</xdr:rowOff>
        </xdr:from>
        <xdr:to>
          <xdr:col>13</xdr:col>
          <xdr:colOff>807720</xdr:colOff>
          <xdr:row>122</xdr:row>
          <xdr:rowOff>227965</xdr:rowOff>
        </xdr:to>
        <xdr:sp>
          <xdr:nvSpPr>
            <xdr:cNvPr id="38077" name="Check Box 189" hidden="1">
              <a:extLst>
                <a:ext uri="{63B3BB69-23CF-44E3-9099-C40C66FF867C}">
                  <a14:compatExt spid="_x0000_s38077"/>
                </a:ext>
              </a:extLst>
            </xdr:cNvPr>
            <xdr:cNvSpPr/>
          </xdr:nvSpPr>
          <xdr:spPr>
            <a:xfrm>
              <a:off x="13382625" y="26649045"/>
              <a:ext cx="967740" cy="356870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复选框 186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893445</xdr:colOff>
          <xdr:row>118</xdr:row>
          <xdr:rowOff>45720</xdr:rowOff>
        </xdr:from>
        <xdr:to>
          <xdr:col>13</xdr:col>
          <xdr:colOff>807720</xdr:colOff>
          <xdr:row>119</xdr:row>
          <xdr:rowOff>112395</xdr:rowOff>
        </xdr:to>
        <xdr:sp>
          <xdr:nvSpPr>
            <xdr:cNvPr id="38078" name="Check Box 190" hidden="1">
              <a:extLst>
                <a:ext uri="{63B3BB69-23CF-44E3-9099-C40C66FF867C}">
                  <a14:compatExt spid="_x0000_s38078"/>
                </a:ext>
              </a:extLst>
            </xdr:cNvPr>
            <xdr:cNvSpPr/>
          </xdr:nvSpPr>
          <xdr:spPr>
            <a:xfrm>
              <a:off x="13382625" y="25909270"/>
              <a:ext cx="967740" cy="295275"/>
            </a:xfrm>
            <a:prstGeom prst="rect">
              <a:avLst/>
            </a:prstGeom>
          </xdr:spPr>
          <xdr:txBody>
            <a:bodyPr wrap="square" anchor="ctr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复选框 186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893445</xdr:colOff>
          <xdr:row>119</xdr:row>
          <xdr:rowOff>67310</xdr:rowOff>
        </xdr:from>
        <xdr:to>
          <xdr:col>13</xdr:col>
          <xdr:colOff>807720</xdr:colOff>
          <xdr:row>120</xdr:row>
          <xdr:rowOff>125095</xdr:rowOff>
        </xdr:to>
        <xdr:sp>
          <xdr:nvSpPr>
            <xdr:cNvPr id="38079" name="Check Box 191" hidden="1">
              <a:extLst>
                <a:ext uri="{63B3BB69-23CF-44E3-9099-C40C66FF867C}">
                  <a14:compatExt spid="_x0000_s38079"/>
                </a:ext>
              </a:extLst>
            </xdr:cNvPr>
            <xdr:cNvSpPr/>
          </xdr:nvSpPr>
          <xdr:spPr>
            <a:xfrm>
              <a:off x="13382625" y="26159460"/>
              <a:ext cx="967740" cy="286385"/>
            </a:xfrm>
            <a:prstGeom prst="rect">
              <a:avLst/>
            </a:prstGeom>
          </xdr:spPr>
          <xdr:txBody>
            <a:bodyPr wrap="square" anchor="ctr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复选框 186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893445</xdr:colOff>
          <xdr:row>120</xdr:row>
          <xdr:rowOff>79375</xdr:rowOff>
        </xdr:from>
        <xdr:to>
          <xdr:col>13</xdr:col>
          <xdr:colOff>807720</xdr:colOff>
          <xdr:row>121</xdr:row>
          <xdr:rowOff>208280</xdr:rowOff>
        </xdr:to>
        <xdr:sp>
          <xdr:nvSpPr>
            <xdr:cNvPr id="38080" name="Check Box 192" hidden="1">
              <a:extLst>
                <a:ext uri="{63B3BB69-23CF-44E3-9099-C40C66FF867C}">
                  <a14:compatExt spid="_x0000_s38080"/>
                </a:ext>
              </a:extLst>
            </xdr:cNvPr>
            <xdr:cNvSpPr/>
          </xdr:nvSpPr>
          <xdr:spPr>
            <a:xfrm>
              <a:off x="13382625" y="26400125"/>
              <a:ext cx="967740" cy="35750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复选框 186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333375</xdr:colOff>
          <xdr:row>265</xdr:row>
          <xdr:rowOff>69215</xdr:rowOff>
        </xdr:from>
        <xdr:to>
          <xdr:col>9</xdr:col>
          <xdr:colOff>500380</xdr:colOff>
          <xdr:row>267</xdr:row>
          <xdr:rowOff>45085</xdr:rowOff>
        </xdr:to>
        <xdr:sp>
          <xdr:nvSpPr>
            <xdr:cNvPr id="38081" name="Drop Down 193" hidden="1">
              <a:extLst>
                <a:ext uri="{63B3BB69-23CF-44E3-9099-C40C66FF867C}">
                  <a14:compatExt spid="_x0000_s38081"/>
                </a:ext>
              </a:extLst>
            </xdr:cNvPr>
            <xdr:cNvSpPr/>
          </xdr:nvSpPr>
          <xdr:spPr>
            <a:xfrm>
              <a:off x="8608695" y="55409465"/>
              <a:ext cx="1220470" cy="39497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914400</xdr:colOff>
      <xdr:row>264</xdr:row>
      <xdr:rowOff>196850</xdr:rowOff>
    </xdr:from>
    <xdr:to>
      <xdr:col>18</xdr:col>
      <xdr:colOff>901700</xdr:colOff>
      <xdr:row>283</xdr:row>
      <xdr:rowOff>144145</xdr:rowOff>
    </xdr:to>
    <xdr:graphicFrame>
      <xdr:nvGraphicFramePr>
        <xdr:cNvPr id="2" name="图表 1" descr="7b0a202020202263686172745265734964223a20223530303533343139220a7d0a"/>
        <xdr:cNvGraphicFramePr/>
      </xdr:nvGraphicFramePr>
      <xdr:xfrm>
        <a:off x="10243185" y="55327550"/>
        <a:ext cx="10105390" cy="392874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366395</xdr:colOff>
          <xdr:row>265</xdr:row>
          <xdr:rowOff>80645</xdr:rowOff>
        </xdr:from>
        <xdr:to>
          <xdr:col>18</xdr:col>
          <xdr:colOff>485140</xdr:colOff>
          <xdr:row>267</xdr:row>
          <xdr:rowOff>3175</xdr:rowOff>
        </xdr:to>
        <xdr:sp>
          <xdr:nvSpPr>
            <xdr:cNvPr id="38082" name="Drop Down 194" hidden="1">
              <a:extLst>
                <a:ext uri="{63B3BB69-23CF-44E3-9099-C40C66FF867C}">
                  <a14:compatExt spid="_x0000_s38082"/>
                </a:ext>
              </a:extLst>
            </xdr:cNvPr>
            <xdr:cNvSpPr/>
          </xdr:nvSpPr>
          <xdr:spPr>
            <a:xfrm>
              <a:off x="18861405" y="55420895"/>
              <a:ext cx="1070610" cy="34163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43180</xdr:colOff>
      <xdr:row>38</xdr:row>
      <xdr:rowOff>100965</xdr:rowOff>
    </xdr:from>
    <xdr:to>
      <xdr:col>8</xdr:col>
      <xdr:colOff>183515</xdr:colOff>
      <xdr:row>46</xdr:row>
      <xdr:rowOff>132715</xdr:rowOff>
    </xdr:to>
    <xdr:graphicFrame>
      <xdr:nvGraphicFramePr>
        <xdr:cNvPr id="6" name="图表 5" descr="7b0a202020202263686172745265734964223a20223230323934333531220a7d0a"/>
        <xdr:cNvGraphicFramePr/>
      </xdr:nvGraphicFramePr>
      <xdr:xfrm>
        <a:off x="43180" y="2272665"/>
        <a:ext cx="8782685" cy="399415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43815</xdr:colOff>
      <xdr:row>89</xdr:row>
      <xdr:rowOff>85725</xdr:rowOff>
    </xdr:from>
    <xdr:to>
      <xdr:col>8</xdr:col>
      <xdr:colOff>67945</xdr:colOff>
      <xdr:row>111</xdr:row>
      <xdr:rowOff>187960</xdr:rowOff>
    </xdr:to>
    <xdr:graphicFrame>
      <xdr:nvGraphicFramePr>
        <xdr:cNvPr id="9" name="图表 8" descr="7b0a202020202263686172745265734964223a20223530303731323938220a7d0a"/>
        <xdr:cNvGraphicFramePr/>
      </xdr:nvGraphicFramePr>
      <xdr:xfrm>
        <a:off x="43815" y="9966325"/>
        <a:ext cx="8666480" cy="335343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385445</xdr:colOff>
      <xdr:row>38</xdr:row>
      <xdr:rowOff>114300</xdr:rowOff>
    </xdr:from>
    <xdr:to>
      <xdr:col>16</xdr:col>
      <xdr:colOff>58420</xdr:colOff>
      <xdr:row>46</xdr:row>
      <xdr:rowOff>137160</xdr:rowOff>
    </xdr:to>
    <xdr:graphicFrame>
      <xdr:nvGraphicFramePr>
        <xdr:cNvPr id="2" name="图表 1" descr="7b0a202020202263686172745265734964223a20223230323934333531220a7d0a"/>
        <xdr:cNvGraphicFramePr/>
      </xdr:nvGraphicFramePr>
      <xdr:xfrm>
        <a:off x="9027795" y="2286000"/>
        <a:ext cx="8550275" cy="39852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273050</xdr:colOff>
      <xdr:row>89</xdr:row>
      <xdr:rowOff>100965</xdr:rowOff>
    </xdr:from>
    <xdr:to>
      <xdr:col>16</xdr:col>
      <xdr:colOff>62230</xdr:colOff>
      <xdr:row>111</xdr:row>
      <xdr:rowOff>203200</xdr:rowOff>
    </xdr:to>
    <xdr:graphicFrame>
      <xdr:nvGraphicFramePr>
        <xdr:cNvPr id="3" name="图表 2" descr="7b0a202020202263686172745265734964223a20223530303731323938220a7d0a"/>
        <xdr:cNvGraphicFramePr/>
      </xdr:nvGraphicFramePr>
      <xdr:xfrm>
        <a:off x="8915400" y="9981565"/>
        <a:ext cx="8666480" cy="335343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theme/themeOverride1.xml><?xml version="1.0" encoding="utf-8"?>
<a:themeOverride xmlns:a="http://schemas.openxmlformats.org/drawingml/2006/main">
  <a:clrScheme name="商务绿">
    <a:dk1>
      <a:srgbClr val="000000"/>
    </a:dk1>
    <a:lt1>
      <a:srgbClr val="FFFFFF"/>
    </a:lt1>
    <a:dk2>
      <a:srgbClr val="44546A"/>
    </a:dk2>
    <a:lt2>
      <a:srgbClr val="E7E6E6"/>
    </a:lt2>
    <a:accent1>
      <a:srgbClr val="1FAF97"/>
    </a:accent1>
    <a:accent2>
      <a:srgbClr val="474747"/>
    </a:accent2>
    <a:accent3>
      <a:srgbClr val="D9D9D9"/>
    </a:accent3>
    <a:accent4>
      <a:srgbClr val="9CD9DF"/>
    </a:accent4>
    <a:accent5>
      <a:srgbClr val="D9F3F6"/>
    </a:accent5>
    <a:accent6>
      <a:srgbClr val="3A6760"/>
    </a:accent6>
    <a:hlink>
      <a:srgbClr val="0026E5"/>
    </a:hlink>
    <a:folHlink>
      <a:srgbClr val="7E1FAD"/>
    </a:folHlink>
  </a:clrScheme>
  <a:fontScheme name="WPS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WPS">
    <a:fillStyleLst>
      <a:solidFill>
        <a:schemeClr val="phClr"/>
      </a:solidFill>
      <a:gradFill>
        <a:gsLst>
          <a:gs pos="0">
            <a:schemeClr val="phClr">
              <a:lumOff val="17500"/>
            </a:schemeClr>
          </a:gs>
          <a:gs pos="100000">
            <a:schemeClr val="phClr"/>
          </a:gs>
        </a:gsLst>
        <a:lin ang="2700000" scaled="0"/>
      </a:gradFill>
      <a:gradFill>
        <a:gsLst>
          <a:gs pos="0">
            <a:schemeClr val="phClr">
              <a:hueOff val="-2520000"/>
            </a:schemeClr>
          </a:gs>
          <a:gs pos="100000">
            <a:schemeClr val="phClr"/>
          </a:gs>
        </a:gsLst>
        <a:lin ang="27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gradFill>
          <a:gsLst>
            <a:gs pos="0">
              <a:schemeClr val="phClr">
                <a:hueOff val="-4200000"/>
              </a:schemeClr>
            </a:gs>
            <a:gs pos="100000">
              <a:schemeClr val="phClr"/>
            </a:gs>
          </a:gsLst>
          <a:lin ang="2700000" scaled="1"/>
        </a:gradFill>
        <a:prstDash val="solid"/>
        <a:miter lim="800000"/>
      </a:ln>
    </a:lnStyleLst>
    <a:effectStyleLst>
      <a:effectStyle>
        <a:effectLst>
          <a:outerShdw blurRad="101600" dist="50800" dir="5400000" algn="ctr" rotWithShape="0">
            <a:schemeClr val="phClr">
              <a:alpha val="60000"/>
            </a:schemeClr>
          </a:outerShdw>
        </a:effectLst>
      </a:effectStyle>
      <a:effectStyle>
        <a:effectLst>
          <a:reflection stA="50000" endA="300" endPos="40000" dist="25400" dir="5400000" sy="-100000" algn="bl" rotWithShape="0"/>
        </a:effectLst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商务绿">
    <a:dk1>
      <a:srgbClr val="000000"/>
    </a:dk1>
    <a:lt1>
      <a:srgbClr val="FFFFFF"/>
    </a:lt1>
    <a:dk2>
      <a:srgbClr val="44546A"/>
    </a:dk2>
    <a:lt2>
      <a:srgbClr val="E7E6E6"/>
    </a:lt2>
    <a:accent1>
      <a:srgbClr val="1FAF97"/>
    </a:accent1>
    <a:accent2>
      <a:srgbClr val="474747"/>
    </a:accent2>
    <a:accent3>
      <a:srgbClr val="D9D9D9"/>
    </a:accent3>
    <a:accent4>
      <a:srgbClr val="9CD9DF"/>
    </a:accent4>
    <a:accent5>
      <a:srgbClr val="D9F3F6"/>
    </a:accent5>
    <a:accent6>
      <a:srgbClr val="3A6760"/>
    </a:accent6>
    <a:hlink>
      <a:srgbClr val="0026E5"/>
    </a:hlink>
    <a:folHlink>
      <a:srgbClr val="7E1FAD"/>
    </a:folHlink>
  </a:clrScheme>
  <a:fontScheme name="WPS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WPS">
    <a:fillStyleLst>
      <a:solidFill>
        <a:schemeClr val="phClr"/>
      </a:solidFill>
      <a:gradFill>
        <a:gsLst>
          <a:gs pos="0">
            <a:schemeClr val="phClr">
              <a:lumOff val="17500"/>
            </a:schemeClr>
          </a:gs>
          <a:gs pos="100000">
            <a:schemeClr val="phClr"/>
          </a:gs>
        </a:gsLst>
        <a:lin ang="2700000" scaled="0"/>
      </a:gradFill>
      <a:gradFill>
        <a:gsLst>
          <a:gs pos="0">
            <a:schemeClr val="phClr">
              <a:hueOff val="-2520000"/>
            </a:schemeClr>
          </a:gs>
          <a:gs pos="100000">
            <a:schemeClr val="phClr"/>
          </a:gs>
        </a:gsLst>
        <a:lin ang="27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gradFill>
          <a:gsLst>
            <a:gs pos="0">
              <a:schemeClr val="phClr">
                <a:hueOff val="-4200000"/>
              </a:schemeClr>
            </a:gs>
            <a:gs pos="100000">
              <a:schemeClr val="phClr"/>
            </a:gs>
          </a:gsLst>
          <a:lin ang="2700000" scaled="1"/>
        </a:gradFill>
        <a:prstDash val="solid"/>
        <a:miter lim="800000"/>
      </a:ln>
    </a:lnStyleLst>
    <a:effectStyleLst>
      <a:effectStyle>
        <a:effectLst>
          <a:outerShdw blurRad="101600" dist="50800" dir="5400000" algn="ctr" rotWithShape="0">
            <a:schemeClr val="phClr">
              <a:alpha val="60000"/>
            </a:schemeClr>
          </a:outerShdw>
        </a:effectLst>
      </a:effectStyle>
      <a:effectStyle>
        <a:effectLst>
          <a:reflection stA="50000" endA="300" endPos="40000" dist="25400" dir="5400000" sy="-100000" algn="bl" rotWithShape="0"/>
        </a:effectLst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商务绿">
    <a:dk1>
      <a:srgbClr val="000000"/>
    </a:dk1>
    <a:lt1>
      <a:srgbClr val="FFFFFF"/>
    </a:lt1>
    <a:dk2>
      <a:srgbClr val="44546A"/>
    </a:dk2>
    <a:lt2>
      <a:srgbClr val="E7E6E6"/>
    </a:lt2>
    <a:accent1>
      <a:srgbClr val="1FAF97"/>
    </a:accent1>
    <a:accent2>
      <a:srgbClr val="474747"/>
    </a:accent2>
    <a:accent3>
      <a:srgbClr val="D9D9D9"/>
    </a:accent3>
    <a:accent4>
      <a:srgbClr val="9CD9DF"/>
    </a:accent4>
    <a:accent5>
      <a:srgbClr val="D9F3F6"/>
    </a:accent5>
    <a:accent6>
      <a:srgbClr val="3A6760"/>
    </a:accent6>
    <a:hlink>
      <a:srgbClr val="0026E5"/>
    </a:hlink>
    <a:folHlink>
      <a:srgbClr val="7E1FAD"/>
    </a:folHlink>
  </a:clrScheme>
  <a:fontScheme name="WPS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WPS">
    <a:fillStyleLst>
      <a:solidFill>
        <a:schemeClr val="phClr"/>
      </a:solidFill>
      <a:gradFill>
        <a:gsLst>
          <a:gs pos="0">
            <a:schemeClr val="phClr">
              <a:lumOff val="17500"/>
            </a:schemeClr>
          </a:gs>
          <a:gs pos="100000">
            <a:schemeClr val="phClr"/>
          </a:gs>
        </a:gsLst>
        <a:lin ang="2700000" scaled="0"/>
      </a:gradFill>
      <a:gradFill>
        <a:gsLst>
          <a:gs pos="0">
            <a:schemeClr val="phClr">
              <a:hueOff val="-2520000"/>
            </a:schemeClr>
          </a:gs>
          <a:gs pos="100000">
            <a:schemeClr val="phClr"/>
          </a:gs>
        </a:gsLst>
        <a:lin ang="27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gradFill>
          <a:gsLst>
            <a:gs pos="0">
              <a:schemeClr val="phClr">
                <a:hueOff val="-4200000"/>
              </a:schemeClr>
            </a:gs>
            <a:gs pos="100000">
              <a:schemeClr val="phClr"/>
            </a:gs>
          </a:gsLst>
          <a:lin ang="2700000" scaled="1"/>
        </a:gradFill>
        <a:prstDash val="solid"/>
        <a:miter lim="800000"/>
      </a:ln>
    </a:lnStyleLst>
    <a:effectStyleLst>
      <a:effectStyle>
        <a:effectLst>
          <a:outerShdw blurRad="101600" dist="50800" dir="5400000" algn="ctr" rotWithShape="0">
            <a:schemeClr val="phClr">
              <a:alpha val="60000"/>
            </a:schemeClr>
          </a:outerShdw>
        </a:effectLst>
      </a:effectStyle>
      <a:effectStyle>
        <a:effectLst>
          <a:reflection stA="50000" endA="300" endPos="40000" dist="25400" dir="5400000" sy="-100000" algn="bl" rotWithShape="0"/>
        </a:effectLst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商务绿">
    <a:dk1>
      <a:srgbClr val="000000"/>
    </a:dk1>
    <a:lt1>
      <a:srgbClr val="FFFFFF"/>
    </a:lt1>
    <a:dk2>
      <a:srgbClr val="44546A"/>
    </a:dk2>
    <a:lt2>
      <a:srgbClr val="E7E6E6"/>
    </a:lt2>
    <a:accent1>
      <a:srgbClr val="1FAF97"/>
    </a:accent1>
    <a:accent2>
      <a:srgbClr val="474747"/>
    </a:accent2>
    <a:accent3>
      <a:srgbClr val="D9D9D9"/>
    </a:accent3>
    <a:accent4>
      <a:srgbClr val="9CD9DF"/>
    </a:accent4>
    <a:accent5>
      <a:srgbClr val="D9F3F6"/>
    </a:accent5>
    <a:accent6>
      <a:srgbClr val="3A6760"/>
    </a:accent6>
    <a:hlink>
      <a:srgbClr val="0026E5"/>
    </a:hlink>
    <a:folHlink>
      <a:srgbClr val="7E1FAD"/>
    </a:folHlink>
  </a:clrScheme>
  <a:fontScheme name="WPS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WPS">
    <a:fillStyleLst>
      <a:solidFill>
        <a:schemeClr val="phClr"/>
      </a:solidFill>
      <a:gradFill>
        <a:gsLst>
          <a:gs pos="0">
            <a:schemeClr val="phClr">
              <a:lumOff val="17500"/>
            </a:schemeClr>
          </a:gs>
          <a:gs pos="100000">
            <a:schemeClr val="phClr"/>
          </a:gs>
        </a:gsLst>
        <a:lin ang="2700000" scaled="0"/>
      </a:gradFill>
      <a:gradFill>
        <a:gsLst>
          <a:gs pos="0">
            <a:schemeClr val="phClr">
              <a:hueOff val="-2520000"/>
            </a:schemeClr>
          </a:gs>
          <a:gs pos="100000">
            <a:schemeClr val="phClr"/>
          </a:gs>
        </a:gsLst>
        <a:lin ang="27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gradFill>
          <a:gsLst>
            <a:gs pos="0">
              <a:schemeClr val="phClr">
                <a:hueOff val="-4200000"/>
              </a:schemeClr>
            </a:gs>
            <a:gs pos="100000">
              <a:schemeClr val="phClr"/>
            </a:gs>
          </a:gsLst>
          <a:lin ang="2700000" scaled="1"/>
        </a:gradFill>
        <a:prstDash val="solid"/>
        <a:miter lim="800000"/>
      </a:ln>
    </a:lnStyleLst>
    <a:effectStyleLst>
      <a:effectStyle>
        <a:effectLst>
          <a:outerShdw blurRad="101600" dist="50800" dir="5400000" algn="ctr" rotWithShape="0">
            <a:schemeClr val="phClr">
              <a:alpha val="60000"/>
            </a:schemeClr>
          </a:outerShdw>
        </a:effectLst>
      </a:effectStyle>
      <a:effectStyle>
        <a:effectLst>
          <a:reflection stA="50000" endA="300" endPos="40000" dist="25400" dir="5400000" sy="-100000" algn="bl" rotWithShape="0"/>
        </a:effectLst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商务绿">
    <a:dk1>
      <a:srgbClr val="000000"/>
    </a:dk1>
    <a:lt1>
      <a:srgbClr val="FFFFFF"/>
    </a:lt1>
    <a:dk2>
      <a:srgbClr val="44546A"/>
    </a:dk2>
    <a:lt2>
      <a:srgbClr val="E7E6E6"/>
    </a:lt2>
    <a:accent1>
      <a:srgbClr val="1FAF97"/>
    </a:accent1>
    <a:accent2>
      <a:srgbClr val="474747"/>
    </a:accent2>
    <a:accent3>
      <a:srgbClr val="D9D9D9"/>
    </a:accent3>
    <a:accent4>
      <a:srgbClr val="9CD9DF"/>
    </a:accent4>
    <a:accent5>
      <a:srgbClr val="D9F3F6"/>
    </a:accent5>
    <a:accent6>
      <a:srgbClr val="3A6760"/>
    </a:accent6>
    <a:hlink>
      <a:srgbClr val="0026E5"/>
    </a:hlink>
    <a:folHlink>
      <a:srgbClr val="7E1FAD"/>
    </a:folHlink>
  </a:clrScheme>
  <a:fontScheme name="WPS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WPS">
    <a:fillStyleLst>
      <a:solidFill>
        <a:schemeClr val="phClr"/>
      </a:solidFill>
      <a:gradFill>
        <a:gsLst>
          <a:gs pos="0">
            <a:schemeClr val="phClr">
              <a:lumOff val="17500"/>
            </a:schemeClr>
          </a:gs>
          <a:gs pos="100000">
            <a:schemeClr val="phClr"/>
          </a:gs>
        </a:gsLst>
        <a:lin ang="2700000" scaled="0"/>
      </a:gradFill>
      <a:gradFill>
        <a:gsLst>
          <a:gs pos="0">
            <a:schemeClr val="phClr">
              <a:hueOff val="-2520000"/>
            </a:schemeClr>
          </a:gs>
          <a:gs pos="100000">
            <a:schemeClr val="phClr"/>
          </a:gs>
        </a:gsLst>
        <a:lin ang="27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gradFill>
          <a:gsLst>
            <a:gs pos="0">
              <a:schemeClr val="phClr">
                <a:hueOff val="-4200000"/>
              </a:schemeClr>
            </a:gs>
            <a:gs pos="100000">
              <a:schemeClr val="phClr"/>
            </a:gs>
          </a:gsLst>
          <a:lin ang="2700000" scaled="1"/>
        </a:gradFill>
        <a:prstDash val="solid"/>
        <a:miter lim="800000"/>
      </a:ln>
    </a:lnStyleLst>
    <a:effectStyleLst>
      <a:effectStyle>
        <a:effectLst>
          <a:outerShdw blurRad="101600" dist="50800" dir="5400000" algn="ctr" rotWithShape="0">
            <a:schemeClr val="phClr">
              <a:alpha val="60000"/>
            </a:schemeClr>
          </a:outerShdw>
        </a:effectLst>
      </a:effectStyle>
      <a:effectStyle>
        <a:effectLst>
          <a:reflection stA="50000" endA="300" endPos="40000" dist="25400" dir="5400000" sy="-100000" algn="bl" rotWithShape="0"/>
        </a:effectLst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自定义 137">
    <a:dk1>
      <a:srgbClr val="000000"/>
    </a:dk1>
    <a:lt1>
      <a:srgbClr val="FFFFFF"/>
    </a:lt1>
    <a:dk2>
      <a:srgbClr val="44546A"/>
    </a:dk2>
    <a:lt2>
      <a:srgbClr val="E7E6E6"/>
    </a:lt2>
    <a:accent1>
      <a:srgbClr val="EC4233"/>
    </a:accent1>
    <a:accent2>
      <a:srgbClr val="3F3F3F"/>
    </a:accent2>
    <a:accent3>
      <a:srgbClr val="FBBB06"/>
    </a:accent3>
    <a:accent4>
      <a:srgbClr val="1167C3"/>
    </a:accent4>
    <a:accent5>
      <a:srgbClr val="523FBA"/>
    </a:accent5>
    <a:accent6>
      <a:srgbClr val="FF7E01"/>
    </a:accent6>
    <a:hlink>
      <a:srgbClr val="0026E5"/>
    </a:hlink>
    <a:folHlink>
      <a:srgbClr val="7E1FAD"/>
    </a:folHlink>
  </a:clrScheme>
  <a:fontScheme name="WPS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WPS">
    <a:fillStyleLst>
      <a:solidFill>
        <a:schemeClr val="phClr"/>
      </a:solidFill>
      <a:gradFill>
        <a:gsLst>
          <a:gs pos="0">
            <a:schemeClr val="phClr">
              <a:lumOff val="17500"/>
            </a:schemeClr>
          </a:gs>
          <a:gs pos="100000">
            <a:schemeClr val="phClr"/>
          </a:gs>
        </a:gsLst>
        <a:lin ang="2700000" scaled="0"/>
      </a:gradFill>
      <a:gradFill>
        <a:gsLst>
          <a:gs pos="0">
            <a:schemeClr val="phClr">
              <a:hueOff val="-2520000"/>
            </a:schemeClr>
          </a:gs>
          <a:gs pos="100000">
            <a:schemeClr val="phClr"/>
          </a:gs>
        </a:gsLst>
        <a:lin ang="27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gradFill>
          <a:gsLst>
            <a:gs pos="0">
              <a:schemeClr val="phClr">
                <a:hueOff val="-4200000"/>
              </a:schemeClr>
            </a:gs>
            <a:gs pos="100000">
              <a:schemeClr val="phClr"/>
            </a:gs>
          </a:gsLst>
          <a:lin ang="2700000" scaled="1"/>
        </a:gradFill>
        <a:prstDash val="solid"/>
        <a:miter lim="800000"/>
      </a:ln>
    </a:lnStyleLst>
    <a:effectStyleLst>
      <a:effectStyle>
        <a:effectLst>
          <a:outerShdw blurRad="101600" dist="50800" dir="5400000" algn="ctr" rotWithShape="0">
            <a:schemeClr val="phClr">
              <a:alpha val="60000"/>
            </a:schemeClr>
          </a:outerShdw>
        </a:effectLst>
      </a:effectStyle>
      <a:effectStyle>
        <a:effectLst>
          <a:reflection stA="50000" endA="300" endPos="40000" dist="25400" dir="5400000" sy="-100000" algn="bl" rotWithShape="0"/>
        </a:effectLst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商务蓝色">
    <a:dk1>
      <a:srgbClr val="000000"/>
    </a:dk1>
    <a:lt1>
      <a:srgbClr val="FFFFFF"/>
    </a:lt1>
    <a:dk2>
      <a:srgbClr val="44546A"/>
    </a:dk2>
    <a:lt2>
      <a:srgbClr val="E7E6E6"/>
    </a:lt2>
    <a:accent1>
      <a:srgbClr val="1C59D3"/>
    </a:accent1>
    <a:accent2>
      <a:srgbClr val="1087EC"/>
    </a:accent2>
    <a:accent3>
      <a:srgbClr val="438ACB"/>
    </a:accent3>
    <a:accent4>
      <a:srgbClr val="DEECFD"/>
    </a:accent4>
    <a:accent5>
      <a:srgbClr val="2599FA"/>
    </a:accent5>
    <a:accent6>
      <a:srgbClr val="013AA8"/>
    </a:accent6>
    <a:hlink>
      <a:srgbClr val="0026E5"/>
    </a:hlink>
    <a:folHlink>
      <a:srgbClr val="7E1FAD"/>
    </a:folHlink>
  </a:clrScheme>
  <a:fontScheme name="WPS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WPS">
    <a:fillStyleLst>
      <a:solidFill>
        <a:schemeClr val="phClr"/>
      </a:solidFill>
      <a:gradFill>
        <a:gsLst>
          <a:gs pos="0">
            <a:schemeClr val="phClr">
              <a:lumOff val="17500"/>
            </a:schemeClr>
          </a:gs>
          <a:gs pos="100000">
            <a:schemeClr val="phClr"/>
          </a:gs>
        </a:gsLst>
        <a:lin ang="2700000" scaled="0"/>
      </a:gradFill>
      <a:gradFill>
        <a:gsLst>
          <a:gs pos="0">
            <a:schemeClr val="phClr">
              <a:hueOff val="-2520000"/>
            </a:schemeClr>
          </a:gs>
          <a:gs pos="100000">
            <a:schemeClr val="phClr"/>
          </a:gs>
        </a:gsLst>
        <a:lin ang="27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gradFill>
          <a:gsLst>
            <a:gs pos="0">
              <a:schemeClr val="phClr">
                <a:hueOff val="-4200000"/>
              </a:schemeClr>
            </a:gs>
            <a:gs pos="100000">
              <a:schemeClr val="phClr"/>
            </a:gs>
          </a:gsLst>
          <a:lin ang="2700000" scaled="1"/>
        </a:gradFill>
        <a:prstDash val="solid"/>
        <a:miter lim="800000"/>
      </a:ln>
    </a:lnStyleLst>
    <a:effectStyleLst>
      <a:effectStyle>
        <a:effectLst>
          <a:outerShdw blurRad="101600" dist="50800" dir="5400000" algn="ctr" rotWithShape="0">
            <a:schemeClr val="phClr">
              <a:alpha val="60000"/>
            </a:schemeClr>
          </a:outerShdw>
        </a:effectLst>
      </a:effectStyle>
      <a:effectStyle>
        <a:effectLst>
          <a:reflection stA="50000" endA="300" endPos="40000" dist="25400" dir="5400000" sy="-100000" algn="bl" rotWithShape="0"/>
        </a:effectLst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自定义 137">
    <a:dk1>
      <a:srgbClr val="000000"/>
    </a:dk1>
    <a:lt1>
      <a:srgbClr val="FFFFFF"/>
    </a:lt1>
    <a:dk2>
      <a:srgbClr val="44546A"/>
    </a:dk2>
    <a:lt2>
      <a:srgbClr val="E7E6E6"/>
    </a:lt2>
    <a:accent1>
      <a:srgbClr val="EC4233"/>
    </a:accent1>
    <a:accent2>
      <a:srgbClr val="3F3F3F"/>
    </a:accent2>
    <a:accent3>
      <a:srgbClr val="FBBB06"/>
    </a:accent3>
    <a:accent4>
      <a:srgbClr val="1167C3"/>
    </a:accent4>
    <a:accent5>
      <a:srgbClr val="523FBA"/>
    </a:accent5>
    <a:accent6>
      <a:srgbClr val="FF7E01"/>
    </a:accent6>
    <a:hlink>
      <a:srgbClr val="0026E5"/>
    </a:hlink>
    <a:folHlink>
      <a:srgbClr val="7E1FAD"/>
    </a:folHlink>
  </a:clrScheme>
  <a:fontScheme name="WPS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WPS">
    <a:fillStyleLst>
      <a:solidFill>
        <a:schemeClr val="phClr"/>
      </a:solidFill>
      <a:gradFill>
        <a:gsLst>
          <a:gs pos="0">
            <a:schemeClr val="phClr">
              <a:lumOff val="17500"/>
            </a:schemeClr>
          </a:gs>
          <a:gs pos="100000">
            <a:schemeClr val="phClr"/>
          </a:gs>
        </a:gsLst>
        <a:lin ang="2700000" scaled="0"/>
      </a:gradFill>
      <a:gradFill>
        <a:gsLst>
          <a:gs pos="0">
            <a:schemeClr val="phClr">
              <a:hueOff val="-2520000"/>
            </a:schemeClr>
          </a:gs>
          <a:gs pos="100000">
            <a:schemeClr val="phClr"/>
          </a:gs>
        </a:gsLst>
        <a:lin ang="27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gradFill>
          <a:gsLst>
            <a:gs pos="0">
              <a:schemeClr val="phClr">
                <a:hueOff val="-4200000"/>
              </a:schemeClr>
            </a:gs>
            <a:gs pos="100000">
              <a:schemeClr val="phClr"/>
            </a:gs>
          </a:gsLst>
          <a:lin ang="2700000" scaled="1"/>
        </a:gradFill>
        <a:prstDash val="solid"/>
        <a:miter lim="800000"/>
      </a:ln>
    </a:lnStyleLst>
    <a:effectStyleLst>
      <a:effectStyle>
        <a:effectLst>
          <a:outerShdw blurRad="101600" dist="50800" dir="5400000" algn="ctr" rotWithShape="0">
            <a:schemeClr val="phClr">
              <a:alpha val="60000"/>
            </a:schemeClr>
          </a:outerShdw>
        </a:effectLst>
      </a:effectStyle>
      <a:effectStyle>
        <a:effectLst>
          <a:reflection stA="50000" endA="300" endPos="40000" dist="25400" dir="5400000" sy="-100000" algn="bl" rotWithShape="0"/>
        </a:effectLst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商务蓝色">
    <a:dk1>
      <a:srgbClr val="000000"/>
    </a:dk1>
    <a:lt1>
      <a:srgbClr val="FFFFFF"/>
    </a:lt1>
    <a:dk2>
      <a:srgbClr val="44546A"/>
    </a:dk2>
    <a:lt2>
      <a:srgbClr val="E7E6E6"/>
    </a:lt2>
    <a:accent1>
      <a:srgbClr val="1C59D3"/>
    </a:accent1>
    <a:accent2>
      <a:srgbClr val="1087EC"/>
    </a:accent2>
    <a:accent3>
      <a:srgbClr val="438ACB"/>
    </a:accent3>
    <a:accent4>
      <a:srgbClr val="DEECFD"/>
    </a:accent4>
    <a:accent5>
      <a:srgbClr val="2599FA"/>
    </a:accent5>
    <a:accent6>
      <a:srgbClr val="013AA8"/>
    </a:accent6>
    <a:hlink>
      <a:srgbClr val="0026E5"/>
    </a:hlink>
    <a:folHlink>
      <a:srgbClr val="7E1FAD"/>
    </a:folHlink>
  </a:clrScheme>
  <a:fontScheme name="WPS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WPS">
    <a:fillStyleLst>
      <a:solidFill>
        <a:schemeClr val="phClr"/>
      </a:solidFill>
      <a:gradFill>
        <a:gsLst>
          <a:gs pos="0">
            <a:schemeClr val="phClr">
              <a:lumOff val="17500"/>
            </a:schemeClr>
          </a:gs>
          <a:gs pos="100000">
            <a:schemeClr val="phClr"/>
          </a:gs>
        </a:gsLst>
        <a:lin ang="2700000" scaled="0"/>
      </a:gradFill>
      <a:gradFill>
        <a:gsLst>
          <a:gs pos="0">
            <a:schemeClr val="phClr">
              <a:hueOff val="-2520000"/>
            </a:schemeClr>
          </a:gs>
          <a:gs pos="100000">
            <a:schemeClr val="phClr"/>
          </a:gs>
        </a:gsLst>
        <a:lin ang="27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gradFill>
          <a:gsLst>
            <a:gs pos="0">
              <a:schemeClr val="phClr">
                <a:hueOff val="-4200000"/>
              </a:schemeClr>
            </a:gs>
            <a:gs pos="100000">
              <a:schemeClr val="phClr"/>
            </a:gs>
          </a:gsLst>
          <a:lin ang="2700000" scaled="1"/>
        </a:gradFill>
        <a:prstDash val="solid"/>
        <a:miter lim="800000"/>
      </a:ln>
    </a:lnStyleLst>
    <a:effectStyleLst>
      <a:effectStyle>
        <a:effectLst>
          <a:outerShdw blurRad="101600" dist="50800" dir="5400000" algn="ctr" rotWithShape="0">
            <a:schemeClr val="phClr">
              <a:alpha val="60000"/>
            </a:schemeClr>
          </a:outerShdw>
        </a:effectLst>
      </a:effectStyle>
      <a:effectStyle>
        <a:effectLst>
          <a:reflection stA="50000" endA="300" endPos="40000" dist="25400" dir="5400000" sy="-100000" algn="bl" rotWithShape="0"/>
        </a:effectLst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ctrlProp" Target="../ctrlProps/ctrlProp7.xml"/><Relationship Id="rId8" Type="http://schemas.openxmlformats.org/officeDocument/2006/relationships/ctrlProp" Target="../ctrlProps/ctrlProp6.xml"/><Relationship Id="rId7" Type="http://schemas.openxmlformats.org/officeDocument/2006/relationships/ctrlProp" Target="../ctrlProps/ctrlProp5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407A8"/>
  </sheetPr>
  <dimension ref="A1:AD295"/>
  <sheetViews>
    <sheetView showGridLines="0" tabSelected="1" zoomScale="80" zoomScaleNormal="80" workbookViewId="0">
      <selection activeCell="R103" sqref="R103"/>
    </sheetView>
  </sheetViews>
  <sheetFormatPr defaultColWidth="9" defaultRowHeight="16.5"/>
  <cols>
    <col min="1" max="1" width="10.775" style="175" customWidth="1"/>
    <col min="2" max="2" width="13.4333333333333" style="175" customWidth="1"/>
    <col min="3" max="3" width="16.075" style="175" customWidth="1"/>
    <col min="4" max="4" width="13.9083333333333" style="176" customWidth="1"/>
    <col min="5" max="5" width="12.9333333333333" style="176" customWidth="1"/>
    <col min="6" max="6" width="13.825" style="175" customWidth="1"/>
    <col min="7" max="8" width="13.825" style="176" customWidth="1"/>
    <col min="9" max="9" width="13.825" style="175" customWidth="1"/>
    <col min="10" max="10" width="13.825" style="177" customWidth="1"/>
    <col min="11" max="12" width="13.825" style="175" customWidth="1"/>
    <col min="13" max="14" width="13.825" style="177" customWidth="1"/>
    <col min="15" max="15" width="13.825" style="175" customWidth="1"/>
    <col min="16" max="16" width="21.0916666666667" style="177" customWidth="1"/>
    <col min="17" max="17" width="16.25" style="175" customWidth="1"/>
    <col min="18" max="18" width="12.4916666666667" style="176" customWidth="1"/>
    <col min="19" max="19" width="22.5" style="175" customWidth="1"/>
    <col min="20" max="21" width="17.3833333333333" style="175" customWidth="1"/>
    <col min="22" max="22" width="14.1333333333333" style="175"/>
    <col min="23" max="23" width="17.3833333333333" style="175"/>
    <col min="24" max="27" width="14.1333333333333" style="175"/>
    <col min="28" max="16384" width="9" style="175"/>
  </cols>
  <sheetData>
    <row r="1" ht="46" customHeight="1" spans="1:30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9"/>
      <c r="R1" s="180"/>
      <c r="S1" s="179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</row>
    <row r="2" ht="37" customHeight="1" spans="1:30">
      <c r="A2" s="182" t="s">
        <v>1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3"/>
      <c r="R2" s="184"/>
      <c r="S2" s="183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</row>
    <row r="3" ht="22" customHeight="1" spans="1:30">
      <c r="A3" s="185" t="s">
        <v>2</v>
      </c>
      <c r="B3" s="185"/>
      <c r="C3" s="185"/>
      <c r="D3" s="185"/>
      <c r="E3" s="185"/>
      <c r="F3" s="186"/>
      <c r="G3" s="187"/>
      <c r="H3" s="187"/>
      <c r="I3" s="186"/>
      <c r="J3" s="188"/>
      <c r="K3" s="186"/>
      <c r="L3" s="186"/>
      <c r="M3" s="188"/>
      <c r="N3" s="188"/>
      <c r="O3" s="186"/>
      <c r="P3" s="188"/>
      <c r="Q3" s="186"/>
      <c r="R3" s="187"/>
      <c r="S3" s="186"/>
    </row>
    <row r="4" ht="31" customHeight="1" spans="1:30">
      <c r="A4" s="189" t="s">
        <v>3</v>
      </c>
      <c r="B4" s="189"/>
      <c r="C4" s="189" t="s">
        <v>4</v>
      </c>
      <c r="D4" s="190" t="s">
        <v>5</v>
      </c>
      <c r="E4" s="190" t="s">
        <v>6</v>
      </c>
      <c r="F4" s="190" t="s">
        <v>7</v>
      </c>
      <c r="G4" s="190" t="s">
        <v>8</v>
      </c>
      <c r="H4" s="190" t="s">
        <v>9</v>
      </c>
      <c r="I4" s="190" t="s">
        <v>10</v>
      </c>
      <c r="J4" s="190" t="s">
        <v>11</v>
      </c>
      <c r="K4" s="190" t="s">
        <v>12</v>
      </c>
      <c r="L4" s="190" t="s">
        <v>13</v>
      </c>
      <c r="M4" s="190" t="s">
        <v>14</v>
      </c>
      <c r="N4" s="190" t="s">
        <v>15</v>
      </c>
      <c r="O4" s="190" t="s">
        <v>16</v>
      </c>
      <c r="P4" s="191" t="s">
        <v>17</v>
      </c>
      <c r="Q4" s="192"/>
      <c r="R4" s="193"/>
      <c r="S4" s="186"/>
    </row>
    <row r="5" ht="27" customHeight="1" spans="1:30">
      <c r="A5" s="194" t="s">
        <v>18</v>
      </c>
      <c r="B5" s="194"/>
      <c r="C5" s="195" t="s">
        <v>19</v>
      </c>
      <c r="D5" s="196">
        <v>2160000</v>
      </c>
      <c r="E5" s="196">
        <v>2120000</v>
      </c>
      <c r="F5" s="194">
        <v>2259873.66</v>
      </c>
      <c r="G5" s="196">
        <v>2693568.17777778</v>
      </c>
      <c r="H5" s="196">
        <v>2757491.955</v>
      </c>
      <c r="I5" s="194">
        <v>2896328.17714286</v>
      </c>
      <c r="J5" s="197"/>
      <c r="K5" s="194"/>
      <c r="L5" s="194"/>
      <c r="M5" s="197"/>
      <c r="N5" s="197"/>
      <c r="O5" s="194"/>
      <c r="P5" s="198">
        <v>34000000</v>
      </c>
      <c r="Q5" s="199"/>
      <c r="R5" s="200"/>
    </row>
    <row r="6" ht="27" customHeight="1" spans="1:30">
      <c r="A6" s="194"/>
      <c r="B6" s="194"/>
      <c r="C6" s="195" t="s">
        <v>20</v>
      </c>
      <c r="D6" s="196">
        <f>D23+D26+D29+D32+D38+D41+D47+D50+D53+D56+D59+D65+D35</f>
        <v>3437599.3</v>
      </c>
      <c r="E6" s="196">
        <f>E23+E26+E29+E32+E38+E41+E47+E50+E53+E56+E59+E65+E35</f>
        <v>921263.4</v>
      </c>
      <c r="F6" s="196">
        <f>F23+F26+F29+F32+F38+F41+F47+F50+F53+F56+F59+F65+F35</f>
        <v>1956623</v>
      </c>
      <c r="G6" s="196">
        <f>G23+G26+G29+G32+G38+G41+G47+G50+G53+G56+G59+G65+G35</f>
        <v>2262177.96</v>
      </c>
      <c r="H6" s="196">
        <f>H23+H26+H29+H32+H38+H41+H47+H50+H53+H56+H59+H65+H35</f>
        <v>2415638.4</v>
      </c>
      <c r="I6" s="196">
        <f>I23+I26+I29+I32+I38+I41+I47+I50+I53+I56+I59+I65+I35+I44+I62</f>
        <v>2543097</v>
      </c>
      <c r="J6" s="196">
        <f t="shared" ref="J6:O6" si="0">J23+J26+J29+J32+J38+J41+J47+J50+J53+J56+J59+J65+J35+J44+J62</f>
        <v>0</v>
      </c>
      <c r="K6" s="196">
        <f t="shared" si="0"/>
        <v>0</v>
      </c>
      <c r="L6" s="196">
        <f t="shared" si="0"/>
        <v>0</v>
      </c>
      <c r="M6" s="196">
        <f t="shared" si="0"/>
        <v>0</v>
      </c>
      <c r="N6" s="196">
        <f t="shared" si="0"/>
        <v>0</v>
      </c>
      <c r="O6" s="196">
        <f t="shared" si="0"/>
        <v>0</v>
      </c>
      <c r="P6" s="198">
        <f>SUM(D6:O6)</f>
        <v>13536399.06</v>
      </c>
      <c r="Q6" s="199"/>
      <c r="R6" s="201"/>
    </row>
    <row r="7" ht="27" customHeight="1" spans="1:30">
      <c r="A7" s="194"/>
      <c r="B7" s="194"/>
      <c r="C7" s="202" t="s">
        <v>21</v>
      </c>
      <c r="D7" s="203">
        <f>D6/D5</f>
        <v>1.59148115740741</v>
      </c>
      <c r="E7" s="203">
        <f t="shared" ref="E7:P7" si="1">E6/E5</f>
        <v>0.43455820754717</v>
      </c>
      <c r="F7" s="203">
        <f t="shared" si="1"/>
        <v>0.865810790502333</v>
      </c>
      <c r="G7" s="203">
        <f t="shared" si="1"/>
        <v>0.839844329415236</v>
      </c>
      <c r="H7" s="203">
        <f t="shared" si="1"/>
        <v>0.876027360884902</v>
      </c>
      <c r="I7" s="203">
        <f t="shared" si="1"/>
        <v>0.878041728858464</v>
      </c>
      <c r="J7" s="203" t="e">
        <f t="shared" si="1"/>
        <v>#DIV/0!</v>
      </c>
      <c r="K7" s="203" t="e">
        <f t="shared" si="1"/>
        <v>#DIV/0!</v>
      </c>
      <c r="L7" s="203" t="e">
        <f t="shared" si="1"/>
        <v>#DIV/0!</v>
      </c>
      <c r="M7" s="203" t="e">
        <f t="shared" si="1"/>
        <v>#DIV/0!</v>
      </c>
      <c r="N7" s="203" t="e">
        <f t="shared" si="1"/>
        <v>#DIV/0!</v>
      </c>
      <c r="O7" s="203" t="e">
        <f t="shared" si="1"/>
        <v>#DIV/0!</v>
      </c>
      <c r="P7" s="204">
        <f t="shared" si="1"/>
        <v>0.398129384117647</v>
      </c>
      <c r="Q7" s="199"/>
      <c r="R7" s="205"/>
    </row>
    <row r="8" ht="27" customHeight="1" spans="1:30">
      <c r="C8" s="176"/>
      <c r="E8" s="206"/>
      <c r="F8" s="176"/>
      <c r="H8" s="206"/>
      <c r="I8" s="177"/>
      <c r="J8" s="176"/>
      <c r="K8" s="206"/>
      <c r="L8" s="177"/>
      <c r="N8" s="206"/>
      <c r="O8" s="177"/>
      <c r="P8" s="175"/>
      <c r="Q8" s="199"/>
      <c r="R8" s="205"/>
    </row>
    <row r="9" ht="27" customHeight="1" spans="1:30">
      <c r="C9" s="176"/>
      <c r="E9" s="206"/>
      <c r="F9" s="176"/>
      <c r="H9" s="206"/>
      <c r="I9" s="177"/>
      <c r="J9" s="176"/>
      <c r="K9" s="206"/>
      <c r="L9" s="177"/>
      <c r="N9" s="206"/>
      <c r="O9" s="177"/>
      <c r="P9" s="175"/>
      <c r="Q9" s="199"/>
      <c r="R9" s="205"/>
    </row>
    <row r="10" ht="27" customHeight="1" spans="1:30">
      <c r="C10" s="176"/>
      <c r="E10" s="206"/>
      <c r="F10" s="176"/>
      <c r="H10" s="206"/>
      <c r="I10" s="177"/>
      <c r="J10" s="176"/>
      <c r="K10" s="206"/>
      <c r="L10" s="177"/>
      <c r="N10" s="206"/>
      <c r="O10" s="177"/>
      <c r="P10" s="175"/>
      <c r="Q10" s="199"/>
      <c r="R10" s="205"/>
    </row>
    <row r="11" ht="27" customHeight="1" spans="1:30">
      <c r="C11" s="176"/>
      <c r="E11" s="206"/>
      <c r="F11" s="176"/>
      <c r="H11" s="206"/>
      <c r="I11" s="177"/>
      <c r="J11" s="176"/>
      <c r="K11" s="206"/>
      <c r="L11" s="177"/>
      <c r="N11" s="206"/>
      <c r="O11" s="177"/>
      <c r="P11" s="175"/>
      <c r="Q11" s="199"/>
      <c r="R11" s="205"/>
    </row>
    <row r="12" ht="27" customHeight="1" spans="1:30">
      <c r="C12" s="176"/>
      <c r="E12" s="206"/>
      <c r="F12" s="176"/>
      <c r="H12" s="206"/>
      <c r="I12" s="177"/>
      <c r="J12" s="176"/>
      <c r="K12" s="206"/>
      <c r="L12" s="177"/>
      <c r="N12" s="206"/>
      <c r="O12" s="177"/>
      <c r="P12" s="175"/>
      <c r="Q12" s="199"/>
      <c r="R12" s="205"/>
    </row>
    <row r="13" ht="27" customHeight="1" spans="1:30">
      <c r="C13" s="176"/>
      <c r="E13" s="206"/>
      <c r="F13" s="176"/>
      <c r="H13" s="206"/>
      <c r="I13" s="177"/>
      <c r="J13" s="176"/>
      <c r="K13" s="206"/>
      <c r="L13" s="177"/>
      <c r="N13" s="206"/>
      <c r="O13" s="177"/>
      <c r="P13" s="175"/>
      <c r="Q13" s="199"/>
      <c r="R13" s="205"/>
    </row>
    <row r="14" ht="27" customHeight="1" spans="1:30">
      <c r="C14" s="176"/>
      <c r="E14" s="206"/>
      <c r="F14" s="176"/>
      <c r="H14" s="206"/>
      <c r="I14" s="177"/>
      <c r="J14" s="176"/>
      <c r="K14" s="206"/>
      <c r="L14" s="177"/>
      <c r="N14" s="206"/>
      <c r="O14" s="177"/>
      <c r="P14" s="175"/>
      <c r="Q14" s="199"/>
      <c r="R14" s="205"/>
    </row>
    <row r="15" ht="27" customHeight="1" spans="1:30">
      <c r="C15" s="176"/>
      <c r="E15" s="206"/>
      <c r="F15" s="176"/>
      <c r="H15" s="206"/>
      <c r="I15" s="177"/>
      <c r="J15" s="176"/>
      <c r="K15" s="206"/>
      <c r="L15" s="177"/>
      <c r="N15" s="206"/>
      <c r="O15" s="177"/>
      <c r="P15" s="175"/>
      <c r="Q15" s="199"/>
      <c r="R15" s="205"/>
    </row>
    <row r="16" ht="27" customHeight="1" spans="1:30">
      <c r="C16" s="176"/>
      <c r="E16" s="206"/>
      <c r="F16" s="176"/>
      <c r="H16" s="206"/>
      <c r="I16" s="177"/>
      <c r="J16" s="176"/>
      <c r="K16" s="206"/>
      <c r="L16" s="177"/>
      <c r="N16" s="206"/>
      <c r="O16" s="177"/>
      <c r="P16" s="175"/>
      <c r="Q16" s="199"/>
      <c r="R16" s="205"/>
    </row>
    <row r="17" ht="27" customHeight="1" spans="1:21">
      <c r="C17" s="176"/>
      <c r="E17" s="206"/>
      <c r="F17" s="176"/>
      <c r="H17" s="206"/>
      <c r="I17" s="177"/>
      <c r="J17" s="176"/>
      <c r="K17" s="206"/>
      <c r="L17" s="177"/>
      <c r="N17" s="206"/>
      <c r="O17" s="177"/>
      <c r="P17" s="175"/>
      <c r="Q17" s="199"/>
      <c r="R17" s="205"/>
    </row>
    <row r="18" ht="27" customHeight="1" spans="1:21">
      <c r="F18" s="206"/>
      <c r="I18" s="206"/>
      <c r="K18" s="176"/>
      <c r="L18" s="206"/>
      <c r="O18" s="206"/>
      <c r="Q18" s="200"/>
      <c r="R18" s="199"/>
      <c r="S18" s="206"/>
    </row>
    <row r="19" ht="62" customHeight="1" spans="1:21">
      <c r="F19" s="176"/>
      <c r="I19" s="176"/>
      <c r="J19" s="176"/>
      <c r="K19" s="176"/>
      <c r="L19" s="176"/>
      <c r="M19" s="176"/>
      <c r="N19" s="176"/>
      <c r="O19" s="176"/>
      <c r="P19" s="176"/>
      <c r="Q19" s="176"/>
      <c r="S19" s="207"/>
      <c r="T19" s="208"/>
      <c r="U19" s="208"/>
    </row>
    <row r="20" s="174" customFormat="1" ht="24" customHeight="1" spans="1:21">
      <c r="A20" s="185" t="s">
        <v>22</v>
      </c>
      <c r="B20" s="185"/>
      <c r="C20" s="185"/>
      <c r="D20" s="185"/>
      <c r="E20" s="185"/>
      <c r="F20" s="209"/>
      <c r="G20" s="210"/>
      <c r="H20" s="210"/>
      <c r="I20" s="209"/>
      <c r="J20" s="211"/>
      <c r="K20" s="209"/>
      <c r="L20" s="209"/>
      <c r="M20" s="211"/>
      <c r="N20" s="211"/>
      <c r="O20" s="209"/>
      <c r="P20" s="211"/>
      <c r="Q20" s="209"/>
      <c r="R20" s="210"/>
      <c r="S20" s="209"/>
    </row>
    <row r="21" ht="38" customHeight="1" spans="1:21">
      <c r="A21" s="212" t="s">
        <v>23</v>
      </c>
      <c r="B21" s="213"/>
      <c r="C21" s="189" t="s">
        <v>4</v>
      </c>
      <c r="D21" s="190" t="s">
        <v>5</v>
      </c>
      <c r="E21" s="190" t="s">
        <v>6</v>
      </c>
      <c r="F21" s="190" t="s">
        <v>7</v>
      </c>
      <c r="G21" s="190" t="s">
        <v>8</v>
      </c>
      <c r="H21" s="190" t="s">
        <v>9</v>
      </c>
      <c r="I21" s="190" t="s">
        <v>10</v>
      </c>
      <c r="J21" s="190" t="s">
        <v>11</v>
      </c>
      <c r="K21" s="190" t="s">
        <v>12</v>
      </c>
      <c r="L21" s="190" t="s">
        <v>13</v>
      </c>
      <c r="M21" s="190" t="s">
        <v>14</v>
      </c>
      <c r="N21" s="190" t="s">
        <v>15</v>
      </c>
      <c r="O21" s="190" t="s">
        <v>16</v>
      </c>
      <c r="P21" s="191" t="s">
        <v>17</v>
      </c>
      <c r="Q21" s="200"/>
      <c r="R21" s="199"/>
      <c r="S21" s="200"/>
    </row>
    <row r="22" ht="18" customHeight="1" spans="1:21">
      <c r="A22" s="214" t="s">
        <v>24</v>
      </c>
      <c r="B22" s="214"/>
      <c r="C22" s="215" t="s">
        <v>19</v>
      </c>
      <c r="D22" s="215">
        <v>150000</v>
      </c>
      <c r="E22" s="215">
        <v>150000</v>
      </c>
      <c r="F22" s="216">
        <v>160042.5</v>
      </c>
      <c r="G22" s="215">
        <v>180042.5</v>
      </c>
      <c r="H22" s="215">
        <v>188411.8125</v>
      </c>
      <c r="I22" s="217">
        <v>200051.928571429</v>
      </c>
      <c r="J22" s="217"/>
      <c r="K22" s="217"/>
      <c r="L22" s="217"/>
      <c r="M22" s="217"/>
      <c r="N22" s="217"/>
      <c r="O22" s="217"/>
      <c r="P22" s="191">
        <v>2200000</v>
      </c>
      <c r="Q22" s="200"/>
      <c r="R22" s="199"/>
      <c r="S22" s="205"/>
    </row>
    <row r="23" ht="18" customHeight="1" spans="1:21">
      <c r="A23" s="214"/>
      <c r="B23" s="214"/>
      <c r="C23" s="215" t="s">
        <v>20</v>
      </c>
      <c r="D23" s="215">
        <v>153445.4</v>
      </c>
      <c r="E23" s="215">
        <v>49575</v>
      </c>
      <c r="F23" s="215">
        <v>190212.6</v>
      </c>
      <c r="G23" s="215">
        <v>113088</v>
      </c>
      <c r="H23" s="218">
        <v>106931</v>
      </c>
      <c r="I23" s="218">
        <f>140144.4+25550</f>
        <v>165694.4</v>
      </c>
      <c r="J23" s="217"/>
      <c r="K23" s="217"/>
      <c r="L23" s="217"/>
      <c r="M23" s="217"/>
      <c r="N23" s="217"/>
      <c r="O23" s="217"/>
      <c r="P23" s="191">
        <f>SUM(D23:O23)</f>
        <v>778946.4</v>
      </c>
      <c r="Q23" s="200"/>
      <c r="R23" s="199"/>
      <c r="S23" s="205"/>
    </row>
    <row r="24" ht="18" customHeight="1" spans="1:21">
      <c r="A24" s="214"/>
      <c r="B24" s="214"/>
      <c r="C24" s="219" t="s">
        <v>21</v>
      </c>
      <c r="D24" s="220">
        <f>D23/D22</f>
        <v>1.02296933333333</v>
      </c>
      <c r="E24" s="220">
        <f t="shared" ref="E24:P24" si="2">E23/E22</f>
        <v>0.3305</v>
      </c>
      <c r="F24" s="220">
        <f t="shared" si="2"/>
        <v>1.18851305122077</v>
      </c>
      <c r="G24" s="220">
        <f t="shared" si="2"/>
        <v>0.628118360942555</v>
      </c>
      <c r="H24" s="220">
        <f t="shared" si="2"/>
        <v>0.567538725842893</v>
      </c>
      <c r="I24" s="220">
        <f t="shared" si="2"/>
        <v>0.828256948999312</v>
      </c>
      <c r="J24" s="220" t="e">
        <f t="shared" si="2"/>
        <v>#DIV/0!</v>
      </c>
      <c r="K24" s="220" t="e">
        <f t="shared" si="2"/>
        <v>#DIV/0!</v>
      </c>
      <c r="L24" s="220" t="e">
        <f t="shared" si="2"/>
        <v>#DIV/0!</v>
      </c>
      <c r="M24" s="220" t="e">
        <f t="shared" si="2"/>
        <v>#DIV/0!</v>
      </c>
      <c r="N24" s="220" t="e">
        <f t="shared" si="2"/>
        <v>#DIV/0!</v>
      </c>
      <c r="O24" s="220" t="e">
        <f t="shared" si="2"/>
        <v>#DIV/0!</v>
      </c>
      <c r="P24" s="221">
        <f t="shared" si="2"/>
        <v>0.354066545454545</v>
      </c>
      <c r="Q24" s="200"/>
      <c r="R24" s="199"/>
      <c r="S24" s="205"/>
    </row>
    <row r="25" ht="19" customHeight="1" spans="1:21">
      <c r="A25" s="214" t="s">
        <v>25</v>
      </c>
      <c r="B25" s="214"/>
      <c r="C25" s="215" t="s">
        <v>19</v>
      </c>
      <c r="D25" s="215">
        <v>250000</v>
      </c>
      <c r="E25" s="215">
        <v>250000</v>
      </c>
      <c r="F25" s="216">
        <v>252156.9</v>
      </c>
      <c r="G25" s="215">
        <v>282156.9</v>
      </c>
      <c r="H25" s="215">
        <v>282156.9</v>
      </c>
      <c r="I25" s="217">
        <v>292156.9</v>
      </c>
      <c r="J25" s="217"/>
      <c r="K25" s="217"/>
      <c r="L25" s="217"/>
      <c r="M25" s="217"/>
      <c r="N25" s="217"/>
      <c r="O25" s="217"/>
      <c r="P25" s="191">
        <v>3400000</v>
      </c>
      <c r="Q25" s="200"/>
      <c r="S25" s="206"/>
    </row>
    <row r="26" ht="19" customHeight="1" spans="1:21">
      <c r="A26" s="214"/>
      <c r="B26" s="214"/>
      <c r="C26" s="215" t="s">
        <v>20</v>
      </c>
      <c r="D26" s="215">
        <v>478815</v>
      </c>
      <c r="E26" s="215">
        <f>228881-450</f>
        <v>228431</v>
      </c>
      <c r="F26" s="215">
        <v>392192</v>
      </c>
      <c r="G26" s="215">
        <v>461507</v>
      </c>
      <c r="H26" s="218">
        <v>868140</v>
      </c>
      <c r="I26" s="218">
        <f>535160-549200+15290</f>
        <v>1250</v>
      </c>
      <c r="J26" s="217"/>
      <c r="K26" s="217"/>
      <c r="L26" s="217"/>
      <c r="M26" s="217"/>
      <c r="N26" s="217"/>
      <c r="O26" s="217"/>
      <c r="P26" s="191">
        <f>SUM(D26:O26)</f>
        <v>2430335</v>
      </c>
      <c r="Q26" s="200"/>
      <c r="S26" s="206"/>
    </row>
    <row r="27" ht="19" customHeight="1" spans="1:21">
      <c r="A27" s="214"/>
      <c r="B27" s="214"/>
      <c r="C27" s="219" t="s">
        <v>21</v>
      </c>
      <c r="D27" s="220">
        <f>D26/D25</f>
        <v>1.91526</v>
      </c>
      <c r="E27" s="220">
        <f t="shared" ref="E27:P27" si="3">E26/E25</f>
        <v>0.913724</v>
      </c>
      <c r="F27" s="220">
        <f t="shared" si="3"/>
        <v>1.55534907036056</v>
      </c>
      <c r="G27" s="220">
        <f t="shared" si="3"/>
        <v>1.63563960335544</v>
      </c>
      <c r="H27" s="220">
        <f t="shared" si="3"/>
        <v>3.07679875983894</v>
      </c>
      <c r="I27" s="220">
        <f t="shared" si="3"/>
        <v>0.00427852294434942</v>
      </c>
      <c r="J27" s="220" t="e">
        <f t="shared" si="3"/>
        <v>#DIV/0!</v>
      </c>
      <c r="K27" s="220" t="e">
        <f t="shared" si="3"/>
        <v>#DIV/0!</v>
      </c>
      <c r="L27" s="220" t="e">
        <f t="shared" si="3"/>
        <v>#DIV/0!</v>
      </c>
      <c r="M27" s="220" t="e">
        <f t="shared" si="3"/>
        <v>#DIV/0!</v>
      </c>
      <c r="N27" s="220" t="e">
        <f t="shared" si="3"/>
        <v>#DIV/0!</v>
      </c>
      <c r="O27" s="220" t="e">
        <f t="shared" si="3"/>
        <v>#DIV/0!</v>
      </c>
      <c r="P27" s="221">
        <f t="shared" si="3"/>
        <v>0.714804411764706</v>
      </c>
      <c r="S27" s="206"/>
    </row>
    <row r="28" ht="19" customHeight="1" spans="1:21">
      <c r="A28" s="214" t="s">
        <v>26</v>
      </c>
      <c r="B28" s="214"/>
      <c r="C28" s="215" t="s">
        <v>19</v>
      </c>
      <c r="D28" s="215">
        <v>190000</v>
      </c>
      <c r="E28" s="215">
        <v>180000</v>
      </c>
      <c r="F28" s="216">
        <v>193883</v>
      </c>
      <c r="G28" s="215">
        <v>163883</v>
      </c>
      <c r="H28" s="215">
        <v>163883</v>
      </c>
      <c r="I28" s="217">
        <v>176968.285714286</v>
      </c>
      <c r="J28" s="217"/>
      <c r="K28" s="217"/>
      <c r="L28" s="217"/>
      <c r="M28" s="217"/>
      <c r="N28" s="217"/>
      <c r="O28" s="217"/>
      <c r="P28" s="191">
        <v>2500000</v>
      </c>
      <c r="Q28" s="200"/>
      <c r="S28" s="206"/>
    </row>
    <row r="29" ht="19" customHeight="1" spans="1:21">
      <c r="A29" s="214"/>
      <c r="B29" s="214"/>
      <c r="C29" s="215" t="s">
        <v>20</v>
      </c>
      <c r="D29" s="215">
        <v>239785</v>
      </c>
      <c r="E29" s="215">
        <v>41170</v>
      </c>
      <c r="F29" s="215">
        <v>241960</v>
      </c>
      <c r="G29" s="215">
        <v>170380</v>
      </c>
      <c r="H29" s="218">
        <v>72286</v>
      </c>
      <c r="I29" s="218">
        <f>291556+1510</f>
        <v>293066</v>
      </c>
      <c r="J29" s="217"/>
      <c r="K29" s="217"/>
      <c r="L29" s="217"/>
      <c r="M29" s="217"/>
      <c r="N29" s="217"/>
      <c r="O29" s="217"/>
      <c r="P29" s="191">
        <f>SUM(D29:O29)</f>
        <v>1058647</v>
      </c>
      <c r="Q29" s="200"/>
      <c r="S29" s="206"/>
    </row>
    <row r="30" ht="19" customHeight="1" spans="1:21">
      <c r="A30" s="214"/>
      <c r="B30" s="214"/>
      <c r="C30" s="219" t="s">
        <v>21</v>
      </c>
      <c r="D30" s="220">
        <f>D29/D28</f>
        <v>1.26202631578947</v>
      </c>
      <c r="E30" s="220">
        <f t="shared" ref="E30:P30" si="4">E29/E28</f>
        <v>0.228722222222222</v>
      </c>
      <c r="F30" s="220">
        <f t="shared" si="4"/>
        <v>1.24796913602533</v>
      </c>
      <c r="G30" s="220">
        <f t="shared" si="4"/>
        <v>1.03964413636558</v>
      </c>
      <c r="H30" s="220">
        <f t="shared" si="4"/>
        <v>0.441082967726976</v>
      </c>
      <c r="I30" s="220">
        <f t="shared" si="4"/>
        <v>1.65603683630158</v>
      </c>
      <c r="J30" s="220" t="e">
        <f t="shared" si="4"/>
        <v>#DIV/0!</v>
      </c>
      <c r="K30" s="220" t="e">
        <f t="shared" si="4"/>
        <v>#DIV/0!</v>
      </c>
      <c r="L30" s="220" t="e">
        <f t="shared" si="4"/>
        <v>#DIV/0!</v>
      </c>
      <c r="M30" s="220" t="e">
        <f t="shared" si="4"/>
        <v>#DIV/0!</v>
      </c>
      <c r="N30" s="220" t="e">
        <f t="shared" si="4"/>
        <v>#DIV/0!</v>
      </c>
      <c r="O30" s="220" t="e">
        <f t="shared" si="4"/>
        <v>#DIV/0!</v>
      </c>
      <c r="P30" s="221">
        <f t="shared" si="4"/>
        <v>0.4234588</v>
      </c>
      <c r="S30" s="206"/>
    </row>
    <row r="31" s="62" customFormat="1" ht="19" customHeight="1" spans="1:21">
      <c r="A31" s="214" t="s">
        <v>27</v>
      </c>
      <c r="B31" s="214"/>
      <c r="C31" s="215" t="s">
        <v>19</v>
      </c>
      <c r="D31" s="215">
        <v>50000</v>
      </c>
      <c r="E31" s="215">
        <v>32097.4545454545</v>
      </c>
      <c r="F31" s="216">
        <v>55307.2</v>
      </c>
      <c r="G31" s="215">
        <v>91452.4444444444</v>
      </c>
      <c r="H31" s="215">
        <v>98961.5</v>
      </c>
      <c r="I31" s="217">
        <v>110813.142857143</v>
      </c>
      <c r="J31" s="217"/>
      <c r="K31" s="217"/>
      <c r="L31" s="217"/>
      <c r="M31" s="217"/>
      <c r="N31" s="217"/>
      <c r="O31" s="217"/>
      <c r="P31" s="191">
        <v>1000000</v>
      </c>
      <c r="Q31" s="200"/>
      <c r="R31" s="176"/>
      <c r="S31" s="206"/>
    </row>
    <row r="32" s="62" customFormat="1" ht="19" customHeight="1" spans="1:21">
      <c r="A32" s="214"/>
      <c r="B32" s="214"/>
      <c r="C32" s="215" t="s">
        <v>20</v>
      </c>
      <c r="D32" s="215">
        <f>26128+800</f>
        <v>26928</v>
      </c>
      <c r="E32" s="215">
        <v>0</v>
      </c>
      <c r="F32" s="215">
        <v>0</v>
      </c>
      <c r="G32" s="215">
        <v>31380</v>
      </c>
      <c r="H32" s="218">
        <v>16000</v>
      </c>
      <c r="I32" s="218">
        <v>8820</v>
      </c>
      <c r="J32" s="217"/>
      <c r="K32" s="217"/>
      <c r="L32" s="217"/>
      <c r="M32" s="217"/>
      <c r="N32" s="217"/>
      <c r="O32" s="217"/>
      <c r="P32" s="191">
        <f>SUM(D32:O32)</f>
        <v>83128</v>
      </c>
      <c r="Q32" s="200"/>
      <c r="R32" s="176"/>
      <c r="S32" s="206"/>
    </row>
    <row r="33" s="62" customFormat="1" ht="19" customHeight="1" spans="1:19">
      <c r="A33" s="214"/>
      <c r="B33" s="214"/>
      <c r="C33" s="219" t="s">
        <v>21</v>
      </c>
      <c r="D33" s="220">
        <f t="shared" ref="D33:P33" si="5">D32/D31</f>
        <v>0.53856</v>
      </c>
      <c r="E33" s="220">
        <f t="shared" si="5"/>
        <v>0</v>
      </c>
      <c r="F33" s="220">
        <f t="shared" si="5"/>
        <v>0</v>
      </c>
      <c r="G33" s="220">
        <f t="shared" si="5"/>
        <v>0.34312915516504</v>
      </c>
      <c r="H33" s="220">
        <f t="shared" si="5"/>
        <v>0.161679036797138</v>
      </c>
      <c r="I33" s="220">
        <f t="shared" si="5"/>
        <v>0.0795934468835568</v>
      </c>
      <c r="J33" s="220" t="e">
        <f t="shared" si="5"/>
        <v>#DIV/0!</v>
      </c>
      <c r="K33" s="220" t="e">
        <f t="shared" si="5"/>
        <v>#DIV/0!</v>
      </c>
      <c r="L33" s="220" t="e">
        <f t="shared" si="5"/>
        <v>#DIV/0!</v>
      </c>
      <c r="M33" s="220" t="e">
        <f t="shared" si="5"/>
        <v>#DIV/0!</v>
      </c>
      <c r="N33" s="220" t="e">
        <f t="shared" si="5"/>
        <v>#DIV/0!</v>
      </c>
      <c r="O33" s="220" t="e">
        <f t="shared" si="5"/>
        <v>#DIV/0!</v>
      </c>
      <c r="P33" s="221">
        <f t="shared" si="5"/>
        <v>0.083128</v>
      </c>
      <c r="Q33" s="175"/>
      <c r="R33" s="176"/>
      <c r="S33" s="206"/>
    </row>
    <row r="34" s="62" customFormat="1" ht="19" customHeight="1" spans="1:19">
      <c r="A34" s="214" t="s">
        <v>28</v>
      </c>
      <c r="B34" s="214"/>
      <c r="C34" s="215" t="s">
        <v>19</v>
      </c>
      <c r="D34" s="215">
        <v>50000</v>
      </c>
      <c r="E34" s="215">
        <v>30000</v>
      </c>
      <c r="F34" s="216">
        <v>52520</v>
      </c>
      <c r="G34" s="215">
        <v>86316.6666666667</v>
      </c>
      <c r="H34" s="215">
        <v>90506.25</v>
      </c>
      <c r="I34" s="217">
        <v>99878.5714285714</v>
      </c>
      <c r="J34" s="217"/>
      <c r="K34" s="217"/>
      <c r="L34" s="217"/>
      <c r="M34" s="217"/>
      <c r="N34" s="217"/>
      <c r="O34" s="217"/>
      <c r="P34" s="191">
        <v>1000000</v>
      </c>
      <c r="Q34" s="200"/>
      <c r="R34" s="176"/>
      <c r="S34" s="206"/>
    </row>
    <row r="35" s="62" customFormat="1" ht="19" customHeight="1" spans="1:19">
      <c r="A35" s="214"/>
      <c r="B35" s="214"/>
      <c r="C35" s="215" t="s">
        <v>20</v>
      </c>
      <c r="D35" s="215">
        <f>58400+2000</f>
        <v>60400</v>
      </c>
      <c r="E35" s="215">
        <v>4800</v>
      </c>
      <c r="F35" s="215">
        <v>18350</v>
      </c>
      <c r="G35" s="215">
        <v>52800</v>
      </c>
      <c r="H35" s="218">
        <f>42500-17600</f>
        <v>24900</v>
      </c>
      <c r="I35" s="218">
        <f>23175+13700</f>
        <v>36875</v>
      </c>
      <c r="J35" s="217"/>
      <c r="K35" s="217"/>
      <c r="L35" s="217"/>
      <c r="M35" s="217"/>
      <c r="N35" s="217"/>
      <c r="O35" s="217"/>
      <c r="P35" s="191">
        <f>SUM(D35:O35)</f>
        <v>198125</v>
      </c>
      <c r="Q35" s="200"/>
      <c r="R35" s="176"/>
      <c r="S35" s="206"/>
    </row>
    <row r="36" s="62" customFormat="1" ht="19" customHeight="1" spans="1:19">
      <c r="A36" s="214"/>
      <c r="B36" s="214"/>
      <c r="C36" s="219" t="s">
        <v>21</v>
      </c>
      <c r="D36" s="220">
        <f t="shared" ref="D36:P36" si="6">D35/D34</f>
        <v>1.208</v>
      </c>
      <c r="E36" s="220">
        <f t="shared" si="6"/>
        <v>0.16</v>
      </c>
      <c r="F36" s="220">
        <f t="shared" si="6"/>
        <v>0.349390708301599</v>
      </c>
      <c r="G36" s="220">
        <f t="shared" si="6"/>
        <v>0.611701100598571</v>
      </c>
      <c r="H36" s="220">
        <f t="shared" si="6"/>
        <v>0.275119121607624</v>
      </c>
      <c r="I36" s="220">
        <f t="shared" si="6"/>
        <v>0.369198312236287</v>
      </c>
      <c r="J36" s="220" t="e">
        <f t="shared" si="6"/>
        <v>#DIV/0!</v>
      </c>
      <c r="K36" s="220" t="e">
        <f t="shared" si="6"/>
        <v>#DIV/0!</v>
      </c>
      <c r="L36" s="220" t="e">
        <f t="shared" si="6"/>
        <v>#DIV/0!</v>
      </c>
      <c r="M36" s="220" t="e">
        <f t="shared" si="6"/>
        <v>#DIV/0!</v>
      </c>
      <c r="N36" s="220" t="e">
        <f t="shared" si="6"/>
        <v>#DIV/0!</v>
      </c>
      <c r="O36" s="220" t="e">
        <f t="shared" si="6"/>
        <v>#DIV/0!</v>
      </c>
      <c r="P36" s="221">
        <f t="shared" si="6"/>
        <v>0.198125</v>
      </c>
      <c r="Q36" s="175"/>
      <c r="R36" s="176"/>
      <c r="S36" s="206"/>
    </row>
    <row r="37" s="62" customFormat="1" ht="19" customHeight="1" spans="1:19">
      <c r="A37" s="214" t="s">
        <v>29</v>
      </c>
      <c r="B37" s="214"/>
      <c r="C37" s="215" t="s">
        <v>19</v>
      </c>
      <c r="D37" s="215">
        <v>120000</v>
      </c>
      <c r="E37" s="215">
        <v>110000</v>
      </c>
      <c r="F37" s="216">
        <v>131783</v>
      </c>
      <c r="G37" s="215">
        <v>171783</v>
      </c>
      <c r="H37" s="215">
        <v>171783</v>
      </c>
      <c r="I37" s="217">
        <v>205649.371428571</v>
      </c>
      <c r="J37" s="217"/>
      <c r="K37" s="217"/>
      <c r="L37" s="217"/>
      <c r="M37" s="217"/>
      <c r="N37" s="217"/>
      <c r="O37" s="217"/>
      <c r="P37" s="191">
        <v>2000000</v>
      </c>
      <c r="Q37" s="200"/>
      <c r="R37" s="176"/>
      <c r="S37" s="206"/>
    </row>
    <row r="38" s="62" customFormat="1" ht="19" customHeight="1" spans="1:19">
      <c r="A38" s="214"/>
      <c r="B38" s="214"/>
      <c r="C38" s="215" t="s">
        <v>20</v>
      </c>
      <c r="D38" s="215">
        <v>392084.8</v>
      </c>
      <c r="E38" s="215">
        <f>4070-11900</f>
        <v>-7830</v>
      </c>
      <c r="F38" s="215">
        <v>265529.2</v>
      </c>
      <c r="G38" s="215">
        <f>255212.16-13920</f>
        <v>241292.16</v>
      </c>
      <c r="H38" s="218">
        <v>74718.4</v>
      </c>
      <c r="I38" s="218">
        <f>566440+34000</f>
        <v>600440</v>
      </c>
      <c r="J38" s="217"/>
      <c r="K38" s="217"/>
      <c r="L38" s="217"/>
      <c r="M38" s="217"/>
      <c r="N38" s="217"/>
      <c r="O38" s="217"/>
      <c r="P38" s="191">
        <f>SUM(D38:O38)</f>
        <v>1566234.56</v>
      </c>
      <c r="Q38" s="200"/>
      <c r="R38" s="176"/>
      <c r="S38" s="206"/>
    </row>
    <row r="39" s="62" customFormat="1" ht="19" customHeight="1" spans="1:19">
      <c r="A39" s="214"/>
      <c r="B39" s="214"/>
      <c r="C39" s="219" t="s">
        <v>21</v>
      </c>
      <c r="D39" s="220">
        <f t="shared" ref="D39:P39" si="7">D38/D37</f>
        <v>3.26737333333333</v>
      </c>
      <c r="E39" s="220">
        <f t="shared" si="7"/>
        <v>-0.0711818181818182</v>
      </c>
      <c r="F39" s="220">
        <f t="shared" si="7"/>
        <v>2.01489721739526</v>
      </c>
      <c r="G39" s="220">
        <f t="shared" si="7"/>
        <v>1.40463352019699</v>
      </c>
      <c r="H39" s="220">
        <f t="shared" si="7"/>
        <v>0.43495805754935</v>
      </c>
      <c r="I39" s="220">
        <f t="shared" si="7"/>
        <v>2.91972689159691</v>
      </c>
      <c r="J39" s="220" t="e">
        <f t="shared" si="7"/>
        <v>#DIV/0!</v>
      </c>
      <c r="K39" s="220" t="e">
        <f t="shared" si="7"/>
        <v>#DIV/0!</v>
      </c>
      <c r="L39" s="220" t="e">
        <f t="shared" si="7"/>
        <v>#DIV/0!</v>
      </c>
      <c r="M39" s="220" t="e">
        <f t="shared" si="7"/>
        <v>#DIV/0!</v>
      </c>
      <c r="N39" s="220" t="e">
        <f t="shared" si="7"/>
        <v>#DIV/0!</v>
      </c>
      <c r="O39" s="220" t="e">
        <f t="shared" si="7"/>
        <v>#DIV/0!</v>
      </c>
      <c r="P39" s="221">
        <f t="shared" si="7"/>
        <v>0.78311728</v>
      </c>
      <c r="Q39" s="175"/>
      <c r="R39" s="176"/>
      <c r="S39" s="206"/>
    </row>
    <row r="40" s="62" customFormat="1" ht="19" customHeight="1" spans="1:19">
      <c r="A40" s="214" t="s">
        <v>30</v>
      </c>
      <c r="B40" s="214"/>
      <c r="C40" s="215" t="s">
        <v>19</v>
      </c>
      <c r="D40" s="215">
        <v>400000</v>
      </c>
      <c r="E40" s="215">
        <v>410375.127272727</v>
      </c>
      <c r="F40" s="216">
        <v>417656.64</v>
      </c>
      <c r="G40" s="215">
        <v>528595.155555555</v>
      </c>
      <c r="H40" s="215">
        <v>542184.55</v>
      </c>
      <c r="I40" s="217">
        <v>557353.771428571</v>
      </c>
      <c r="J40" s="217"/>
      <c r="K40" s="217"/>
      <c r="L40" s="217"/>
      <c r="M40" s="217"/>
      <c r="N40" s="217"/>
      <c r="O40" s="217"/>
      <c r="P40" s="191">
        <v>6700000</v>
      </c>
      <c r="Q40" s="200"/>
      <c r="R40" s="176"/>
      <c r="S40" s="206"/>
    </row>
    <row r="41" s="62" customFormat="1" ht="19" customHeight="1" spans="1:19">
      <c r="A41" s="214"/>
      <c r="B41" s="214"/>
      <c r="C41" s="215" t="s">
        <v>20</v>
      </c>
      <c r="D41" s="215">
        <v>285873.6</v>
      </c>
      <c r="E41" s="215">
        <v>337560</v>
      </c>
      <c r="F41" s="215">
        <v>319210</v>
      </c>
      <c r="G41" s="215">
        <v>419880</v>
      </c>
      <c r="H41" s="218">
        <v>436000</v>
      </c>
      <c r="I41" s="218">
        <v>371100</v>
      </c>
      <c r="J41" s="217"/>
      <c r="K41" s="217"/>
      <c r="L41" s="217"/>
      <c r="M41" s="217"/>
      <c r="N41" s="217"/>
      <c r="O41" s="217"/>
      <c r="P41" s="191">
        <f>SUM(D41:O41)</f>
        <v>2169623.6</v>
      </c>
      <c r="Q41" s="200"/>
      <c r="R41" s="176"/>
      <c r="S41" s="206"/>
    </row>
    <row r="42" s="62" customFormat="1" ht="19" customHeight="1" spans="1:19">
      <c r="A42" s="214"/>
      <c r="B42" s="214"/>
      <c r="C42" s="219" t="s">
        <v>21</v>
      </c>
      <c r="D42" s="220">
        <f t="shared" ref="D42:P42" si="8">D41/D40</f>
        <v>0.714684</v>
      </c>
      <c r="E42" s="220">
        <f t="shared" si="8"/>
        <v>0.8225644722753</v>
      </c>
      <c r="F42" s="220">
        <f t="shared" si="8"/>
        <v>0.764288100387917</v>
      </c>
      <c r="G42" s="220">
        <f t="shared" si="8"/>
        <v>0.79433191089068</v>
      </c>
      <c r="H42" s="220">
        <f t="shared" si="8"/>
        <v>0.804154231248382</v>
      </c>
      <c r="I42" s="220">
        <f t="shared" si="8"/>
        <v>0.665824865684181</v>
      </c>
      <c r="J42" s="220" t="e">
        <f t="shared" si="8"/>
        <v>#DIV/0!</v>
      </c>
      <c r="K42" s="220" t="e">
        <f t="shared" si="8"/>
        <v>#DIV/0!</v>
      </c>
      <c r="L42" s="220" t="e">
        <f t="shared" si="8"/>
        <v>#DIV/0!</v>
      </c>
      <c r="M42" s="220" t="e">
        <f t="shared" si="8"/>
        <v>#DIV/0!</v>
      </c>
      <c r="N42" s="220" t="e">
        <f t="shared" si="8"/>
        <v>#DIV/0!</v>
      </c>
      <c r="O42" s="220" t="e">
        <f t="shared" si="8"/>
        <v>#DIV/0!</v>
      </c>
      <c r="P42" s="221">
        <f t="shared" si="8"/>
        <v>0.323824417910448</v>
      </c>
      <c r="Q42" s="175"/>
      <c r="R42" s="176"/>
      <c r="S42" s="206"/>
    </row>
    <row r="43" s="62" customFormat="1" ht="19" customHeight="1" spans="1:19">
      <c r="A43" s="214" t="s">
        <v>31</v>
      </c>
      <c r="B43" s="214"/>
      <c r="C43" s="222" t="s">
        <v>19</v>
      </c>
      <c r="D43" s="223"/>
      <c r="E43" s="223"/>
      <c r="F43" s="223"/>
      <c r="G43" s="223"/>
      <c r="H43" s="223"/>
      <c r="I43" s="224">
        <v>171428.571428571</v>
      </c>
      <c r="J43" s="224">
        <v>171428.571428571</v>
      </c>
      <c r="K43" s="224">
        <v>171428.571428571</v>
      </c>
      <c r="L43" s="224">
        <v>171428.571428571</v>
      </c>
      <c r="M43" s="224">
        <v>171428.571428571</v>
      </c>
      <c r="N43" s="224">
        <v>171428.571428571</v>
      </c>
      <c r="O43" s="224">
        <v>171428.571428571</v>
      </c>
      <c r="P43" s="225">
        <v>1200000</v>
      </c>
      <c r="Q43" s="175"/>
      <c r="R43" s="176"/>
      <c r="S43" s="206"/>
    </row>
    <row r="44" s="62" customFormat="1" ht="19" customHeight="1" spans="1:19">
      <c r="A44" s="214"/>
      <c r="B44" s="214"/>
      <c r="C44" s="222" t="s">
        <v>20</v>
      </c>
      <c r="D44" s="223"/>
      <c r="E44" s="223"/>
      <c r="F44" s="223"/>
      <c r="G44" s="223"/>
      <c r="H44" s="223"/>
      <c r="I44" s="226">
        <v>86400</v>
      </c>
      <c r="J44" s="226"/>
      <c r="K44" s="226"/>
      <c r="L44" s="226"/>
      <c r="M44" s="226"/>
      <c r="N44" s="226"/>
      <c r="O44" s="226"/>
      <c r="P44" s="191">
        <f>SUM(D44:O44)</f>
        <v>86400</v>
      </c>
      <c r="Q44" s="175"/>
      <c r="R44" s="176"/>
      <c r="S44" s="206"/>
    </row>
    <row r="45" s="62" customFormat="1" ht="19" customHeight="1" spans="1:19">
      <c r="A45" s="214"/>
      <c r="B45" s="214"/>
      <c r="C45" s="219" t="s">
        <v>21</v>
      </c>
      <c r="D45" s="220"/>
      <c r="E45" s="220"/>
      <c r="F45" s="220"/>
      <c r="G45" s="220"/>
      <c r="H45" s="220"/>
      <c r="I45" s="220">
        <f t="shared" ref="I45:P45" si="9">I44/I43</f>
        <v>0.504</v>
      </c>
      <c r="J45" s="220">
        <f t="shared" si="9"/>
        <v>0</v>
      </c>
      <c r="K45" s="220">
        <f t="shared" si="9"/>
        <v>0</v>
      </c>
      <c r="L45" s="220">
        <f t="shared" si="9"/>
        <v>0</v>
      </c>
      <c r="M45" s="220">
        <f t="shared" si="9"/>
        <v>0</v>
      </c>
      <c r="N45" s="220">
        <f t="shared" si="9"/>
        <v>0</v>
      </c>
      <c r="O45" s="220">
        <f t="shared" si="9"/>
        <v>0</v>
      </c>
      <c r="P45" s="221">
        <f t="shared" si="9"/>
        <v>0.072</v>
      </c>
      <c r="Q45" s="175"/>
      <c r="R45" s="176"/>
      <c r="S45" s="206"/>
    </row>
    <row r="46" s="62" customFormat="1" ht="19" customHeight="1" spans="1:19">
      <c r="A46" s="214" t="s">
        <v>32</v>
      </c>
      <c r="B46" s="214"/>
      <c r="C46" s="215" t="s">
        <v>19</v>
      </c>
      <c r="D46" s="215">
        <v>140000</v>
      </c>
      <c r="E46" s="215">
        <v>134677.636363636</v>
      </c>
      <c r="F46" s="216">
        <v>144511.4</v>
      </c>
      <c r="G46" s="215">
        <v>227268.755555556</v>
      </c>
      <c r="H46" s="215">
        <v>252914.1</v>
      </c>
      <c r="I46" s="217">
        <v>264842.685714286</v>
      </c>
      <c r="J46" s="217"/>
      <c r="K46" s="217"/>
      <c r="L46" s="217"/>
      <c r="M46" s="217"/>
      <c r="N46" s="217"/>
      <c r="O46" s="217"/>
      <c r="P46" s="191">
        <v>2700000</v>
      </c>
      <c r="Q46" s="200"/>
      <c r="R46" s="176"/>
      <c r="S46" s="206"/>
    </row>
    <row r="47" s="62" customFormat="1" ht="19" customHeight="1" spans="1:19">
      <c r="A47" s="214"/>
      <c r="B47" s="214"/>
      <c r="C47" s="215" t="s">
        <v>20</v>
      </c>
      <c r="D47" s="215">
        <v>88546</v>
      </c>
      <c r="E47" s="215">
        <v>36340</v>
      </c>
      <c r="F47" s="215">
        <v>119695.2</v>
      </c>
      <c r="G47" s="215">
        <v>102106</v>
      </c>
      <c r="H47" s="218">
        <f>171414-2000</f>
        <v>169414</v>
      </c>
      <c r="I47" s="218">
        <f>122480+18600</f>
        <v>141080</v>
      </c>
      <c r="J47" s="217"/>
      <c r="K47" s="217"/>
      <c r="L47" s="217"/>
      <c r="M47" s="217"/>
      <c r="N47" s="217"/>
      <c r="O47" s="217"/>
      <c r="P47" s="191">
        <f>SUM(D47:O47)</f>
        <v>657181.2</v>
      </c>
      <c r="Q47" s="200"/>
      <c r="R47" s="176"/>
      <c r="S47" s="206"/>
    </row>
    <row r="48" s="62" customFormat="1" ht="19" customHeight="1" spans="1:19">
      <c r="A48" s="214"/>
      <c r="B48" s="214"/>
      <c r="C48" s="219" t="s">
        <v>21</v>
      </c>
      <c r="D48" s="220">
        <f t="shared" ref="D48:P48" si="10">D47/D46</f>
        <v>0.632471428571429</v>
      </c>
      <c r="E48" s="220">
        <f t="shared" si="10"/>
        <v>0.269829505337325</v>
      </c>
      <c r="F48" s="220">
        <f t="shared" si="10"/>
        <v>0.828275139539164</v>
      </c>
      <c r="G48" s="220">
        <f t="shared" si="10"/>
        <v>0.449274251317138</v>
      </c>
      <c r="H48" s="220">
        <f t="shared" si="10"/>
        <v>0.669847983959771</v>
      </c>
      <c r="I48" s="220">
        <f t="shared" si="10"/>
        <v>0.53269358607924</v>
      </c>
      <c r="J48" s="220" t="e">
        <f t="shared" si="10"/>
        <v>#DIV/0!</v>
      </c>
      <c r="K48" s="220" t="e">
        <f t="shared" si="10"/>
        <v>#DIV/0!</v>
      </c>
      <c r="L48" s="220" t="e">
        <f t="shared" si="10"/>
        <v>#DIV/0!</v>
      </c>
      <c r="M48" s="220" t="e">
        <f t="shared" si="10"/>
        <v>#DIV/0!</v>
      </c>
      <c r="N48" s="220" t="e">
        <f t="shared" si="10"/>
        <v>#DIV/0!</v>
      </c>
      <c r="O48" s="220" t="e">
        <f t="shared" si="10"/>
        <v>#DIV/0!</v>
      </c>
      <c r="P48" s="221">
        <f t="shared" si="10"/>
        <v>0.243400444444444</v>
      </c>
      <c r="Q48" s="175"/>
      <c r="R48" s="176"/>
      <c r="S48" s="206"/>
    </row>
    <row r="49" s="62" customFormat="1" ht="19" customHeight="1" spans="1:19">
      <c r="A49" s="214" t="s">
        <v>33</v>
      </c>
      <c r="B49" s="214"/>
      <c r="C49" s="215" t="s">
        <v>19</v>
      </c>
      <c r="D49" s="215">
        <v>100000</v>
      </c>
      <c r="E49" s="215">
        <v>107845.6</v>
      </c>
      <c r="F49" s="216">
        <v>113586.04</v>
      </c>
      <c r="G49" s="215">
        <v>180083.766666667</v>
      </c>
      <c r="H49" s="215">
        <v>193198.3375</v>
      </c>
      <c r="I49" s="217">
        <v>230067.3</v>
      </c>
      <c r="J49" s="217"/>
      <c r="K49" s="217"/>
      <c r="L49" s="217"/>
      <c r="M49" s="217"/>
      <c r="N49" s="217"/>
      <c r="O49" s="217"/>
      <c r="P49" s="191">
        <v>2000000</v>
      </c>
      <c r="Q49" s="200"/>
      <c r="R49" s="176"/>
      <c r="S49" s="206"/>
    </row>
    <row r="50" s="62" customFormat="1" ht="19" customHeight="1" spans="1:19">
      <c r="A50" s="214"/>
      <c r="B50" s="214"/>
      <c r="C50" s="215" t="s">
        <v>20</v>
      </c>
      <c r="D50" s="215">
        <v>13698.4</v>
      </c>
      <c r="E50" s="215">
        <v>50441.2</v>
      </c>
      <c r="F50" s="215">
        <v>55106.5</v>
      </c>
      <c r="G50" s="215">
        <v>75167.2</v>
      </c>
      <c r="H50" s="218">
        <f>71026+4089.6+34660</f>
        <v>109775.6</v>
      </c>
      <c r="I50" s="218">
        <f>-8000+50744.2</f>
        <v>42744.2</v>
      </c>
      <c r="J50" s="217"/>
      <c r="K50" s="217"/>
      <c r="L50" s="217"/>
      <c r="M50" s="217"/>
      <c r="N50" s="217"/>
      <c r="O50" s="217"/>
      <c r="P50" s="191">
        <f>SUM(D50:O50)</f>
        <v>346933.1</v>
      </c>
      <c r="Q50" s="200"/>
      <c r="R50" s="176"/>
      <c r="S50" s="206"/>
    </row>
    <row r="51" s="62" customFormat="1" ht="19" customHeight="1" spans="1:19">
      <c r="A51" s="214"/>
      <c r="B51" s="214"/>
      <c r="C51" s="219" t="s">
        <v>21</v>
      </c>
      <c r="D51" s="220">
        <f t="shared" ref="D51:P51" si="11">D50/D49</f>
        <v>0.136984</v>
      </c>
      <c r="E51" s="220">
        <f t="shared" si="11"/>
        <v>0.46771680995794</v>
      </c>
      <c r="F51" s="220">
        <f t="shared" si="11"/>
        <v>0.485152048614425</v>
      </c>
      <c r="G51" s="220">
        <f t="shared" si="11"/>
        <v>0.417401309353628</v>
      </c>
      <c r="H51" s="220">
        <f t="shared" si="11"/>
        <v>0.568201576786343</v>
      </c>
      <c r="I51" s="220">
        <f t="shared" si="11"/>
        <v>0.185789984061186</v>
      </c>
      <c r="J51" s="220" t="e">
        <f t="shared" si="11"/>
        <v>#DIV/0!</v>
      </c>
      <c r="K51" s="220" t="e">
        <f t="shared" si="11"/>
        <v>#DIV/0!</v>
      </c>
      <c r="L51" s="220" t="e">
        <f t="shared" si="11"/>
        <v>#DIV/0!</v>
      </c>
      <c r="M51" s="220" t="e">
        <f t="shared" si="11"/>
        <v>#DIV/0!</v>
      </c>
      <c r="N51" s="220" t="e">
        <f t="shared" si="11"/>
        <v>#DIV/0!</v>
      </c>
      <c r="O51" s="220" t="e">
        <f t="shared" si="11"/>
        <v>#DIV/0!</v>
      </c>
      <c r="P51" s="221">
        <f t="shared" si="11"/>
        <v>0.17346655</v>
      </c>
      <c r="Q51" s="175"/>
      <c r="R51" s="176"/>
      <c r="S51" s="206"/>
    </row>
    <row r="52" s="62" customFormat="1" ht="19" customHeight="1" spans="1:19">
      <c r="A52" s="214" t="s">
        <v>34</v>
      </c>
      <c r="B52" s="214"/>
      <c r="C52" s="215" t="s">
        <v>19</v>
      </c>
      <c r="D52" s="215">
        <v>150000</v>
      </c>
      <c r="E52" s="215">
        <v>150000</v>
      </c>
      <c r="F52" s="216">
        <v>161163.64</v>
      </c>
      <c r="G52" s="215">
        <v>216504.422222222</v>
      </c>
      <c r="H52" s="215">
        <v>221936.375</v>
      </c>
      <c r="I52" s="217">
        <v>230110.714285714</v>
      </c>
      <c r="J52" s="217"/>
      <c r="K52" s="217"/>
      <c r="L52" s="217"/>
      <c r="M52" s="217"/>
      <c r="N52" s="217"/>
      <c r="O52" s="217"/>
      <c r="P52" s="191">
        <v>3000000</v>
      </c>
      <c r="Q52" s="200"/>
      <c r="R52" s="176"/>
      <c r="S52" s="206"/>
    </row>
    <row r="53" s="62" customFormat="1" ht="19" customHeight="1" spans="1:19">
      <c r="A53" s="214"/>
      <c r="B53" s="214"/>
      <c r="C53" s="215" t="s">
        <v>20</v>
      </c>
      <c r="D53" s="215">
        <v>412220.8</v>
      </c>
      <c r="E53" s="215">
        <f>37730+633.6</f>
        <v>38363.6</v>
      </c>
      <c r="F53" s="215">
        <v>113096.6</v>
      </c>
      <c r="G53" s="215">
        <f>176140-3091.2</f>
        <v>173048.8</v>
      </c>
      <c r="H53" s="218">
        <f>164716-34660</f>
        <v>130056</v>
      </c>
      <c r="I53" s="218">
        <f>270345.4-25550+1800-50744.2</f>
        <v>195851.2</v>
      </c>
      <c r="J53" s="217"/>
      <c r="K53" s="217"/>
      <c r="L53" s="217"/>
      <c r="M53" s="217"/>
      <c r="N53" s="217"/>
      <c r="O53" s="217"/>
      <c r="P53" s="191">
        <f>SUM(D53:O53)</f>
        <v>1062637</v>
      </c>
      <c r="Q53" s="227"/>
      <c r="R53" s="176"/>
      <c r="S53" s="206"/>
    </row>
    <row r="54" s="62" customFormat="1" ht="19" customHeight="1" spans="1:19">
      <c r="A54" s="214"/>
      <c r="B54" s="214"/>
      <c r="C54" s="219" t="s">
        <v>21</v>
      </c>
      <c r="D54" s="220">
        <f t="shared" ref="D54:P54" si="12">D53/D52</f>
        <v>2.74813866666667</v>
      </c>
      <c r="E54" s="220">
        <f t="shared" si="12"/>
        <v>0.255757333333333</v>
      </c>
      <c r="F54" s="220">
        <f t="shared" si="12"/>
        <v>0.701750096982173</v>
      </c>
      <c r="G54" s="220">
        <f t="shared" si="12"/>
        <v>0.799285290451856</v>
      </c>
      <c r="H54" s="220">
        <f t="shared" si="12"/>
        <v>0.586005786568335</v>
      </c>
      <c r="I54" s="220">
        <f t="shared" si="12"/>
        <v>0.851117257220904</v>
      </c>
      <c r="J54" s="220" t="e">
        <f t="shared" si="12"/>
        <v>#DIV/0!</v>
      </c>
      <c r="K54" s="220" t="e">
        <f t="shared" si="12"/>
        <v>#DIV/0!</v>
      </c>
      <c r="L54" s="220" t="e">
        <f t="shared" si="12"/>
        <v>#DIV/0!</v>
      </c>
      <c r="M54" s="220" t="e">
        <f t="shared" si="12"/>
        <v>#DIV/0!</v>
      </c>
      <c r="N54" s="220" t="e">
        <f t="shared" si="12"/>
        <v>#DIV/0!</v>
      </c>
      <c r="O54" s="220" t="e">
        <f t="shared" si="12"/>
        <v>#DIV/0!</v>
      </c>
      <c r="P54" s="221">
        <f t="shared" si="12"/>
        <v>0.354212333333333</v>
      </c>
      <c r="Q54" s="175"/>
      <c r="R54" s="176"/>
      <c r="S54" s="206"/>
    </row>
    <row r="55" s="62" customFormat="1" ht="19" customHeight="1" spans="1:19">
      <c r="A55" s="214" t="s">
        <v>35</v>
      </c>
      <c r="B55" s="214"/>
      <c r="C55" s="215" t="s">
        <v>19</v>
      </c>
      <c r="D55" s="215">
        <v>120000</v>
      </c>
      <c r="E55" s="215">
        <v>118706.909090909</v>
      </c>
      <c r="F55" s="216">
        <v>130302.6</v>
      </c>
      <c r="G55" s="215">
        <v>170311.111111111</v>
      </c>
      <c r="H55" s="215">
        <v>185315</v>
      </c>
      <c r="I55" s="217">
        <v>209493.571428571</v>
      </c>
      <c r="J55" s="217"/>
      <c r="K55" s="217"/>
      <c r="L55" s="217"/>
      <c r="M55" s="217"/>
      <c r="N55" s="217"/>
      <c r="O55" s="217"/>
      <c r="P55" s="191">
        <v>2300000</v>
      </c>
      <c r="Q55" s="200"/>
      <c r="R55" s="176"/>
      <c r="S55" s="206"/>
    </row>
    <row r="56" s="62" customFormat="1" ht="19" customHeight="1" spans="1:19">
      <c r="A56" s="214"/>
      <c r="B56" s="214"/>
      <c r="C56" s="215" t="s">
        <v>20</v>
      </c>
      <c r="D56" s="215">
        <v>24224</v>
      </c>
      <c r="E56" s="215">
        <f>106750-4000</f>
        <v>102750</v>
      </c>
      <c r="F56" s="215">
        <v>40226</v>
      </c>
      <c r="G56" s="215">
        <v>50280</v>
      </c>
      <c r="H56" s="218">
        <f>17345-1280</f>
        <v>16065</v>
      </c>
      <c r="I56" s="218">
        <v>86304</v>
      </c>
      <c r="J56" s="217"/>
      <c r="K56" s="217"/>
      <c r="L56" s="217"/>
      <c r="M56" s="217"/>
      <c r="N56" s="217"/>
      <c r="O56" s="217"/>
      <c r="P56" s="191">
        <f>SUM(D56:O56)</f>
        <v>319849</v>
      </c>
      <c r="Q56" s="200"/>
      <c r="R56" s="176"/>
      <c r="S56" s="206"/>
    </row>
    <row r="57" s="62" customFormat="1" ht="19" customHeight="1" spans="1:19">
      <c r="A57" s="214"/>
      <c r="B57" s="214"/>
      <c r="C57" s="219" t="s">
        <v>21</v>
      </c>
      <c r="D57" s="220">
        <f t="shared" ref="D57:P57" si="13">D56/D55</f>
        <v>0.201866666666667</v>
      </c>
      <c r="E57" s="220">
        <f t="shared" si="13"/>
        <v>0.865577250615726</v>
      </c>
      <c r="F57" s="220">
        <f t="shared" si="13"/>
        <v>0.308712182258834</v>
      </c>
      <c r="G57" s="220">
        <f t="shared" si="13"/>
        <v>0.295224425887265</v>
      </c>
      <c r="H57" s="220">
        <f t="shared" si="13"/>
        <v>0.0866902301486658</v>
      </c>
      <c r="I57" s="220">
        <f t="shared" si="13"/>
        <v>0.411964908572033</v>
      </c>
      <c r="J57" s="220" t="e">
        <f t="shared" si="13"/>
        <v>#DIV/0!</v>
      </c>
      <c r="K57" s="220" t="e">
        <f t="shared" si="13"/>
        <v>#DIV/0!</v>
      </c>
      <c r="L57" s="220" t="e">
        <f t="shared" si="13"/>
        <v>#DIV/0!</v>
      </c>
      <c r="M57" s="220" t="e">
        <f t="shared" si="13"/>
        <v>#DIV/0!</v>
      </c>
      <c r="N57" s="220" t="e">
        <f t="shared" si="13"/>
        <v>#DIV/0!</v>
      </c>
      <c r="O57" s="220" t="e">
        <f t="shared" si="13"/>
        <v>#DIV/0!</v>
      </c>
      <c r="P57" s="221">
        <f t="shared" si="13"/>
        <v>0.139064782608696</v>
      </c>
      <c r="Q57" s="175"/>
      <c r="R57" s="176"/>
      <c r="S57" s="206"/>
    </row>
    <row r="58" s="62" customFormat="1" ht="19" customHeight="1" spans="1:19">
      <c r="A58" s="214" t="s">
        <v>36</v>
      </c>
      <c r="B58" s="214"/>
      <c r="C58" s="215" t="s">
        <v>19</v>
      </c>
      <c r="D58" s="215">
        <v>240000</v>
      </c>
      <c r="E58" s="215">
        <v>240000</v>
      </c>
      <c r="F58" s="216">
        <v>257432.56</v>
      </c>
      <c r="G58" s="215">
        <v>233336.177777778</v>
      </c>
      <c r="H58" s="215">
        <v>234220.7</v>
      </c>
      <c r="I58" s="217">
        <v>254220.7</v>
      </c>
      <c r="J58" s="217"/>
      <c r="K58" s="217"/>
      <c r="L58" s="217"/>
      <c r="M58" s="217"/>
      <c r="N58" s="217"/>
      <c r="O58" s="217"/>
      <c r="P58" s="191">
        <v>2700000</v>
      </c>
      <c r="Q58" s="200"/>
      <c r="R58" s="176"/>
      <c r="S58" s="206"/>
    </row>
    <row r="59" s="62" customFormat="1" ht="19" customHeight="1" spans="1:19">
      <c r="A59" s="214"/>
      <c r="B59" s="214"/>
      <c r="C59" s="215" t="s">
        <v>20</v>
      </c>
      <c r="D59" s="215">
        <v>642530</v>
      </c>
      <c r="E59" s="215">
        <v>65674.4</v>
      </c>
      <c r="F59" s="215">
        <v>114300</v>
      </c>
      <c r="G59" s="215">
        <v>226260</v>
      </c>
      <c r="H59" s="218">
        <v>245979.4</v>
      </c>
      <c r="I59" s="218">
        <f>389717.2+7200</f>
        <v>396917.2</v>
      </c>
      <c r="J59" s="217"/>
      <c r="K59" s="217"/>
      <c r="L59" s="217"/>
      <c r="M59" s="217"/>
      <c r="N59" s="217"/>
      <c r="O59" s="217"/>
      <c r="P59" s="191">
        <f>SUM(D59:O59)</f>
        <v>1691661</v>
      </c>
      <c r="Q59" s="200"/>
      <c r="R59" s="176"/>
      <c r="S59" s="206"/>
    </row>
    <row r="60" s="62" customFormat="1" ht="19" customHeight="1" spans="1:19">
      <c r="A60" s="214"/>
      <c r="B60" s="214"/>
      <c r="C60" s="219" t="s">
        <v>21</v>
      </c>
      <c r="D60" s="220">
        <f t="shared" ref="D60:P60" si="14">D59/D58</f>
        <v>2.67720833333333</v>
      </c>
      <c r="E60" s="220">
        <f t="shared" si="14"/>
        <v>0.273643333333333</v>
      </c>
      <c r="F60" s="220">
        <f t="shared" si="14"/>
        <v>0.443999779981211</v>
      </c>
      <c r="G60" s="220">
        <f t="shared" si="14"/>
        <v>0.969673893499202</v>
      </c>
      <c r="H60" s="220">
        <f t="shared" si="14"/>
        <v>1.05020350464327</v>
      </c>
      <c r="I60" s="220">
        <f t="shared" si="14"/>
        <v>1.56130952357538</v>
      </c>
      <c r="J60" s="220" t="e">
        <f t="shared" si="14"/>
        <v>#DIV/0!</v>
      </c>
      <c r="K60" s="220" t="e">
        <f t="shared" si="14"/>
        <v>#DIV/0!</v>
      </c>
      <c r="L60" s="220" t="e">
        <f t="shared" si="14"/>
        <v>#DIV/0!</v>
      </c>
      <c r="M60" s="220" t="e">
        <f t="shared" si="14"/>
        <v>#DIV/0!</v>
      </c>
      <c r="N60" s="220" t="e">
        <f t="shared" si="14"/>
        <v>#DIV/0!</v>
      </c>
      <c r="O60" s="220" t="e">
        <f t="shared" si="14"/>
        <v>#DIV/0!</v>
      </c>
      <c r="P60" s="221">
        <f t="shared" si="14"/>
        <v>0.626541111111111</v>
      </c>
      <c r="Q60" s="175"/>
      <c r="R60" s="176"/>
      <c r="S60" s="206"/>
    </row>
    <row r="61" s="62" customFormat="1" ht="19" customHeight="1" spans="1:19">
      <c r="A61" s="214" t="s">
        <v>37</v>
      </c>
      <c r="B61" s="214"/>
      <c r="C61" s="215" t="s">
        <v>19</v>
      </c>
      <c r="D61" s="223"/>
      <c r="E61" s="223"/>
      <c r="F61" s="223"/>
      <c r="G61" s="223"/>
      <c r="H61" s="223"/>
      <c r="I61" s="224">
        <v>114285.714285714</v>
      </c>
      <c r="J61" s="224">
        <v>114285.714285714</v>
      </c>
      <c r="K61" s="224">
        <v>114285.714285714</v>
      </c>
      <c r="L61" s="224">
        <v>114285.714285714</v>
      </c>
      <c r="M61" s="224">
        <v>114285.714285714</v>
      </c>
      <c r="N61" s="224">
        <v>114285.714285714</v>
      </c>
      <c r="O61" s="224">
        <v>114285.714285714</v>
      </c>
      <c r="P61" s="225">
        <v>800000</v>
      </c>
      <c r="Q61" s="175"/>
      <c r="R61" s="176"/>
      <c r="S61" s="206"/>
    </row>
    <row r="62" s="62" customFormat="1" ht="19" customHeight="1" spans="1:19">
      <c r="A62" s="214"/>
      <c r="B62" s="214"/>
      <c r="C62" s="215" t="s">
        <v>20</v>
      </c>
      <c r="D62" s="223"/>
      <c r="E62" s="223"/>
      <c r="F62" s="223"/>
      <c r="G62" s="223"/>
      <c r="H62" s="223"/>
      <c r="I62" s="224">
        <v>0</v>
      </c>
      <c r="J62" s="224"/>
      <c r="K62" s="224"/>
      <c r="L62" s="224"/>
      <c r="M62" s="224"/>
      <c r="N62" s="224"/>
      <c r="O62" s="224"/>
      <c r="P62" s="191">
        <f>SUM(D62:O62)</f>
        <v>0</v>
      </c>
      <c r="Q62" s="175"/>
      <c r="R62" s="176"/>
      <c r="S62" s="206"/>
    </row>
    <row r="63" s="62" customFormat="1" ht="19" customHeight="1" spans="1:19">
      <c r="A63" s="214"/>
      <c r="B63" s="214"/>
      <c r="C63" s="219" t="s">
        <v>21</v>
      </c>
      <c r="D63" s="220"/>
      <c r="E63" s="220"/>
      <c r="F63" s="220"/>
      <c r="G63" s="220"/>
      <c r="H63" s="220"/>
      <c r="I63" s="220">
        <f t="shared" ref="I63:P63" si="15">I62/I61</f>
        <v>0</v>
      </c>
      <c r="J63" s="220">
        <f t="shared" si="15"/>
        <v>0</v>
      </c>
      <c r="K63" s="220">
        <f t="shared" si="15"/>
        <v>0</v>
      </c>
      <c r="L63" s="220">
        <f t="shared" si="15"/>
        <v>0</v>
      </c>
      <c r="M63" s="220">
        <f t="shared" si="15"/>
        <v>0</v>
      </c>
      <c r="N63" s="220">
        <f t="shared" si="15"/>
        <v>0</v>
      </c>
      <c r="O63" s="220">
        <f t="shared" si="15"/>
        <v>0</v>
      </c>
      <c r="P63" s="221">
        <f t="shared" si="15"/>
        <v>0</v>
      </c>
      <c r="Q63" s="175"/>
      <c r="R63" s="176"/>
      <c r="S63" s="206"/>
    </row>
    <row r="64" s="62" customFormat="1" ht="19" customHeight="1" spans="1:19">
      <c r="A64" s="214" t="s">
        <v>38</v>
      </c>
      <c r="B64" s="214"/>
      <c r="C64" s="215" t="s">
        <v>19</v>
      </c>
      <c r="D64" s="215">
        <v>200000</v>
      </c>
      <c r="E64" s="215">
        <v>200000</v>
      </c>
      <c r="F64" s="216">
        <v>222601.18</v>
      </c>
      <c r="G64" s="215">
        <v>237696.322222222</v>
      </c>
      <c r="H64" s="215">
        <v>249284.7625</v>
      </c>
      <c r="I64" s="217">
        <v>264129.3</v>
      </c>
      <c r="J64" s="217"/>
      <c r="K64" s="217"/>
      <c r="L64" s="217"/>
      <c r="M64" s="217"/>
      <c r="N64" s="217"/>
      <c r="O64" s="217"/>
      <c r="P64" s="191">
        <v>2500000</v>
      </c>
      <c r="Q64" s="200"/>
      <c r="R64" s="176"/>
      <c r="S64" s="206"/>
    </row>
    <row r="65" s="62" customFormat="1" ht="19" customHeight="1" spans="1:19">
      <c r="A65" s="214"/>
      <c r="B65" s="214"/>
      <c r="C65" s="215" t="s">
        <v>20</v>
      </c>
      <c r="D65" s="215">
        <v>619048.3</v>
      </c>
      <c r="E65" s="215">
        <f>40113-66124.8</f>
        <v>-26011.8</v>
      </c>
      <c r="F65" s="215">
        <v>86744.9</v>
      </c>
      <c r="G65" s="215">
        <v>144988.8</v>
      </c>
      <c r="H65" s="218">
        <v>145373</v>
      </c>
      <c r="I65" s="218">
        <f>106955+9600</f>
        <v>116555</v>
      </c>
      <c r="J65" s="217"/>
      <c r="K65" s="217"/>
      <c r="L65" s="217"/>
      <c r="M65" s="217"/>
      <c r="N65" s="217"/>
      <c r="O65" s="217"/>
      <c r="P65" s="191">
        <f>SUM(D65:O65)</f>
        <v>1086698.2</v>
      </c>
      <c r="Q65" s="200"/>
      <c r="R65" s="176"/>
      <c r="S65" s="206"/>
    </row>
    <row r="66" s="62" customFormat="1" ht="19" customHeight="1" spans="1:19">
      <c r="A66" s="214"/>
      <c r="B66" s="214"/>
      <c r="C66" s="219" t="s">
        <v>21</v>
      </c>
      <c r="D66" s="220">
        <f>D65/D64</f>
        <v>3.0952415</v>
      </c>
      <c r="E66" s="220">
        <f t="shared" ref="D66:P66" si="16">E65/E64</f>
        <v>-0.130059</v>
      </c>
      <c r="F66" s="220">
        <f t="shared" si="16"/>
        <v>0.38968751198893</v>
      </c>
      <c r="G66" s="220">
        <f t="shared" si="16"/>
        <v>0.609974940480779</v>
      </c>
      <c r="H66" s="220">
        <f t="shared" si="16"/>
        <v>0.583160392725568</v>
      </c>
      <c r="I66" s="220">
        <f t="shared" si="16"/>
        <v>0.441280085170407</v>
      </c>
      <c r="J66" s="220" t="e">
        <f t="shared" si="16"/>
        <v>#DIV/0!</v>
      </c>
      <c r="K66" s="220" t="e">
        <f t="shared" si="16"/>
        <v>#DIV/0!</v>
      </c>
      <c r="L66" s="220" t="e">
        <f t="shared" si="16"/>
        <v>#DIV/0!</v>
      </c>
      <c r="M66" s="220" t="e">
        <f t="shared" si="16"/>
        <v>#DIV/0!</v>
      </c>
      <c r="N66" s="220" t="e">
        <f t="shared" si="16"/>
        <v>#DIV/0!</v>
      </c>
      <c r="O66" s="220" t="e">
        <f t="shared" si="16"/>
        <v>#DIV/0!</v>
      </c>
      <c r="P66" s="221">
        <f t="shared" si="16"/>
        <v>0.43467928</v>
      </c>
      <c r="Q66" s="175"/>
      <c r="R66" s="176"/>
      <c r="S66" s="206"/>
    </row>
    <row r="67" s="62" customFormat="1" ht="19" customHeight="1" spans="1:19">
      <c r="A67" s="228"/>
      <c r="B67" s="228"/>
      <c r="C67" s="176"/>
      <c r="D67" s="229"/>
      <c r="E67" s="229"/>
      <c r="F67" s="229"/>
      <c r="G67" s="229"/>
      <c r="H67" s="229"/>
      <c r="I67" s="229"/>
      <c r="J67" s="229"/>
      <c r="K67" s="229"/>
      <c r="L67" s="229"/>
      <c r="M67" s="229"/>
      <c r="N67" s="229"/>
      <c r="O67" s="229"/>
      <c r="P67" s="229"/>
      <c r="Q67" s="175"/>
      <c r="R67" s="176"/>
      <c r="S67" s="206"/>
    </row>
    <row r="68" s="175" customFormat="1" ht="19" hidden="1" customHeight="1" spans="1:19">
      <c r="A68" s="228"/>
      <c r="B68" s="228" t="s">
        <v>23</v>
      </c>
      <c r="C68" s="176" t="s">
        <v>5</v>
      </c>
      <c r="D68" s="229" t="s">
        <v>6</v>
      </c>
      <c r="E68" s="229" t="s">
        <v>7</v>
      </c>
      <c r="F68" s="229" t="s">
        <v>8</v>
      </c>
      <c r="G68" s="229" t="s">
        <v>9</v>
      </c>
      <c r="H68" s="229" t="s">
        <v>10</v>
      </c>
      <c r="I68" s="229" t="s">
        <v>11</v>
      </c>
      <c r="J68" s="229" t="s">
        <v>12</v>
      </c>
      <c r="K68" s="229" t="s">
        <v>13</v>
      </c>
      <c r="L68" s="229" t="s">
        <v>14</v>
      </c>
      <c r="M68" s="229" t="s">
        <v>15</v>
      </c>
      <c r="N68" s="229" t="s">
        <v>16</v>
      </c>
      <c r="O68" s="229"/>
      <c r="P68" s="229"/>
      <c r="Q68" s="175"/>
      <c r="R68" s="176"/>
      <c r="S68" s="206"/>
    </row>
    <row r="69" s="175" customFormat="1" ht="19" hidden="1" customHeight="1" spans="1:19">
      <c r="A69" s="228"/>
      <c r="B69" s="228" t="s">
        <v>24</v>
      </c>
      <c r="C69" s="176">
        <f>D23</f>
        <v>153445.4</v>
      </c>
      <c r="D69" s="176">
        <f>E23</f>
        <v>49575</v>
      </c>
      <c r="E69" s="176">
        <f t="shared" ref="D69:N69" si="17">F23</f>
        <v>190212.6</v>
      </c>
      <c r="F69" s="176">
        <f t="shared" si="17"/>
        <v>113088</v>
      </c>
      <c r="G69" s="176">
        <f t="shared" si="17"/>
        <v>106931</v>
      </c>
      <c r="H69" s="176">
        <f t="shared" si="17"/>
        <v>165694.4</v>
      </c>
      <c r="I69" s="176">
        <f t="shared" si="17"/>
        <v>0</v>
      </c>
      <c r="J69" s="176">
        <f t="shared" si="17"/>
        <v>0</v>
      </c>
      <c r="K69" s="176">
        <f t="shared" si="17"/>
        <v>0</v>
      </c>
      <c r="L69" s="176">
        <f t="shared" si="17"/>
        <v>0</v>
      </c>
      <c r="M69" s="176">
        <f t="shared" si="17"/>
        <v>0</v>
      </c>
      <c r="N69" s="176">
        <f t="shared" si="17"/>
        <v>0</v>
      </c>
      <c r="O69" s="229"/>
      <c r="P69" s="229"/>
      <c r="Q69" s="175"/>
      <c r="R69" s="176"/>
      <c r="S69" s="206"/>
    </row>
    <row r="70" s="175" customFormat="1" ht="19" hidden="1" customHeight="1" spans="1:19">
      <c r="A70" s="228"/>
      <c r="B70" s="228" t="s">
        <v>25</v>
      </c>
      <c r="C70" s="176">
        <f>D26</f>
        <v>478815</v>
      </c>
      <c r="D70" s="176">
        <f t="shared" ref="D70:N70" si="18">E26</f>
        <v>228431</v>
      </c>
      <c r="E70" s="176">
        <f t="shared" si="18"/>
        <v>392192</v>
      </c>
      <c r="F70" s="176">
        <f t="shared" si="18"/>
        <v>461507</v>
      </c>
      <c r="G70" s="176">
        <f t="shared" si="18"/>
        <v>868140</v>
      </c>
      <c r="H70" s="176">
        <f t="shared" si="18"/>
        <v>1250</v>
      </c>
      <c r="I70" s="176">
        <f t="shared" si="18"/>
        <v>0</v>
      </c>
      <c r="J70" s="176">
        <f t="shared" si="18"/>
        <v>0</v>
      </c>
      <c r="K70" s="176">
        <f t="shared" si="18"/>
        <v>0</v>
      </c>
      <c r="L70" s="176">
        <f t="shared" si="18"/>
        <v>0</v>
      </c>
      <c r="M70" s="176">
        <f t="shared" si="18"/>
        <v>0</v>
      </c>
      <c r="N70" s="176">
        <f t="shared" si="18"/>
        <v>0</v>
      </c>
      <c r="O70" s="229"/>
      <c r="P70" s="229"/>
      <c r="Q70" s="175"/>
      <c r="R70" s="176"/>
      <c r="S70" s="206"/>
    </row>
    <row r="71" s="175" customFormat="1" ht="19" hidden="1" customHeight="1" spans="1:19">
      <c r="A71" s="228"/>
      <c r="B71" s="228" t="s">
        <v>26</v>
      </c>
      <c r="C71" s="176">
        <f>D29</f>
        <v>239785</v>
      </c>
      <c r="D71" s="176">
        <f t="shared" ref="D71:N71" si="19">E29</f>
        <v>41170</v>
      </c>
      <c r="E71" s="176">
        <f t="shared" si="19"/>
        <v>241960</v>
      </c>
      <c r="F71" s="176">
        <f t="shared" si="19"/>
        <v>170380</v>
      </c>
      <c r="G71" s="176">
        <f t="shared" si="19"/>
        <v>72286</v>
      </c>
      <c r="H71" s="176">
        <f t="shared" si="19"/>
        <v>293066</v>
      </c>
      <c r="I71" s="176">
        <f t="shared" si="19"/>
        <v>0</v>
      </c>
      <c r="J71" s="176">
        <f t="shared" si="19"/>
        <v>0</v>
      </c>
      <c r="K71" s="176">
        <f t="shared" si="19"/>
        <v>0</v>
      </c>
      <c r="L71" s="176">
        <f t="shared" si="19"/>
        <v>0</v>
      </c>
      <c r="M71" s="176">
        <f t="shared" si="19"/>
        <v>0</v>
      </c>
      <c r="N71" s="176">
        <f t="shared" si="19"/>
        <v>0</v>
      </c>
      <c r="O71" s="229"/>
      <c r="P71" s="229"/>
      <c r="Q71" s="175"/>
      <c r="R71" s="176"/>
      <c r="S71" s="206"/>
    </row>
    <row r="72" s="175" customFormat="1" ht="19" hidden="1" customHeight="1" spans="1:19">
      <c r="A72" s="228"/>
      <c r="B72" s="230" t="s">
        <v>27</v>
      </c>
      <c r="C72" s="176">
        <f>D32</f>
        <v>26928</v>
      </c>
      <c r="D72" s="176">
        <f t="shared" ref="D72:N72" si="20">E32</f>
        <v>0</v>
      </c>
      <c r="E72" s="176">
        <f t="shared" si="20"/>
        <v>0</v>
      </c>
      <c r="F72" s="176">
        <f t="shared" si="20"/>
        <v>31380</v>
      </c>
      <c r="G72" s="176">
        <f t="shared" si="20"/>
        <v>16000</v>
      </c>
      <c r="H72" s="176">
        <f t="shared" si="20"/>
        <v>8820</v>
      </c>
      <c r="I72" s="176">
        <f t="shared" si="20"/>
        <v>0</v>
      </c>
      <c r="J72" s="176">
        <f t="shared" si="20"/>
        <v>0</v>
      </c>
      <c r="K72" s="176">
        <f t="shared" si="20"/>
        <v>0</v>
      </c>
      <c r="L72" s="176">
        <f t="shared" si="20"/>
        <v>0</v>
      </c>
      <c r="M72" s="176">
        <f t="shared" si="20"/>
        <v>0</v>
      </c>
      <c r="N72" s="176">
        <f t="shared" si="20"/>
        <v>0</v>
      </c>
      <c r="O72" s="229"/>
      <c r="P72" s="229"/>
      <c r="R72" s="176"/>
      <c r="S72" s="206"/>
    </row>
    <row r="73" s="175" customFormat="1" ht="19" hidden="1" customHeight="1" spans="1:19">
      <c r="A73" s="228"/>
      <c r="B73" s="230" t="s">
        <v>28</v>
      </c>
      <c r="C73" s="176">
        <f>D35</f>
        <v>60400</v>
      </c>
      <c r="D73" s="176">
        <f t="shared" ref="D73:N73" si="21">E35</f>
        <v>4800</v>
      </c>
      <c r="E73" s="176">
        <f t="shared" si="21"/>
        <v>18350</v>
      </c>
      <c r="F73" s="176">
        <f t="shared" si="21"/>
        <v>52800</v>
      </c>
      <c r="G73" s="176">
        <f t="shared" si="21"/>
        <v>24900</v>
      </c>
      <c r="H73" s="176">
        <f t="shared" si="21"/>
        <v>36875</v>
      </c>
      <c r="I73" s="176">
        <f t="shared" si="21"/>
        <v>0</v>
      </c>
      <c r="J73" s="176">
        <f t="shared" si="21"/>
        <v>0</v>
      </c>
      <c r="K73" s="176">
        <f t="shared" si="21"/>
        <v>0</v>
      </c>
      <c r="L73" s="176">
        <f t="shared" si="21"/>
        <v>0</v>
      </c>
      <c r="M73" s="176">
        <f t="shared" si="21"/>
        <v>0</v>
      </c>
      <c r="N73" s="176">
        <f t="shared" si="21"/>
        <v>0</v>
      </c>
      <c r="O73" s="229"/>
      <c r="P73" s="229"/>
      <c r="R73" s="176"/>
      <c r="S73" s="206"/>
    </row>
    <row r="74" s="175" customFormat="1" ht="19" hidden="1" customHeight="1" spans="1:19">
      <c r="A74" s="228"/>
      <c r="B74" s="230" t="s">
        <v>29</v>
      </c>
      <c r="C74" s="176">
        <f>D38</f>
        <v>392084.8</v>
      </c>
      <c r="D74" s="176">
        <f t="shared" ref="D74:N74" si="22">E38</f>
        <v>-7830</v>
      </c>
      <c r="E74" s="176">
        <f t="shared" si="22"/>
        <v>265529.2</v>
      </c>
      <c r="F74" s="176">
        <f t="shared" si="22"/>
        <v>241292.16</v>
      </c>
      <c r="G74" s="176">
        <f t="shared" si="22"/>
        <v>74718.4</v>
      </c>
      <c r="H74" s="176">
        <f t="shared" si="22"/>
        <v>600440</v>
      </c>
      <c r="I74" s="176">
        <f t="shared" si="22"/>
        <v>0</v>
      </c>
      <c r="J74" s="176">
        <f t="shared" si="22"/>
        <v>0</v>
      </c>
      <c r="K74" s="176">
        <f t="shared" si="22"/>
        <v>0</v>
      </c>
      <c r="L74" s="176">
        <f t="shared" si="22"/>
        <v>0</v>
      </c>
      <c r="M74" s="176">
        <f t="shared" si="22"/>
        <v>0</v>
      </c>
      <c r="N74" s="176">
        <f t="shared" si="22"/>
        <v>0</v>
      </c>
      <c r="O74" s="229"/>
      <c r="P74" s="229"/>
      <c r="R74" s="176"/>
      <c r="S74" s="206"/>
    </row>
    <row r="75" s="175" customFormat="1" ht="19" hidden="1" customHeight="1" spans="1:19">
      <c r="A75" s="228"/>
      <c r="B75" s="230" t="s">
        <v>30</v>
      </c>
      <c r="C75" s="176">
        <f>D41</f>
        <v>285873.6</v>
      </c>
      <c r="D75" s="176">
        <f>E41</f>
        <v>337560</v>
      </c>
      <c r="E75" s="176">
        <f t="shared" ref="D75:N75" si="23">F41</f>
        <v>319210</v>
      </c>
      <c r="F75" s="176">
        <f t="shared" si="23"/>
        <v>419880</v>
      </c>
      <c r="G75" s="176">
        <f t="shared" si="23"/>
        <v>436000</v>
      </c>
      <c r="H75" s="176">
        <f t="shared" si="23"/>
        <v>371100</v>
      </c>
      <c r="I75" s="176">
        <f t="shared" si="23"/>
        <v>0</v>
      </c>
      <c r="J75" s="176">
        <f t="shared" si="23"/>
        <v>0</v>
      </c>
      <c r="K75" s="176">
        <f t="shared" si="23"/>
        <v>0</v>
      </c>
      <c r="L75" s="176">
        <f t="shared" si="23"/>
        <v>0</v>
      </c>
      <c r="M75" s="176">
        <f t="shared" si="23"/>
        <v>0</v>
      </c>
      <c r="N75" s="176">
        <f t="shared" si="23"/>
        <v>0</v>
      </c>
      <c r="O75" s="229"/>
      <c r="P75" s="229"/>
      <c r="R75" s="176"/>
      <c r="S75" s="206"/>
    </row>
    <row r="76" s="175" customFormat="1" ht="19" hidden="1" customHeight="1" spans="1:19">
      <c r="A76" s="228"/>
      <c r="B76" s="230" t="s">
        <v>32</v>
      </c>
      <c r="C76" s="176">
        <f>D47</f>
        <v>88546</v>
      </c>
      <c r="D76" s="176">
        <f t="shared" ref="D76:N76" si="24">E47</f>
        <v>36340</v>
      </c>
      <c r="E76" s="176">
        <f t="shared" si="24"/>
        <v>119695.2</v>
      </c>
      <c r="F76" s="176">
        <f t="shared" si="24"/>
        <v>102106</v>
      </c>
      <c r="G76" s="176">
        <f t="shared" si="24"/>
        <v>169414</v>
      </c>
      <c r="H76" s="176">
        <f t="shared" si="24"/>
        <v>141080</v>
      </c>
      <c r="I76" s="176">
        <f t="shared" si="24"/>
        <v>0</v>
      </c>
      <c r="J76" s="176">
        <f t="shared" si="24"/>
        <v>0</v>
      </c>
      <c r="K76" s="176">
        <f t="shared" si="24"/>
        <v>0</v>
      </c>
      <c r="L76" s="176">
        <f t="shared" si="24"/>
        <v>0</v>
      </c>
      <c r="M76" s="176">
        <f t="shared" si="24"/>
        <v>0</v>
      </c>
      <c r="N76" s="176">
        <f t="shared" si="24"/>
        <v>0</v>
      </c>
      <c r="O76" s="229"/>
      <c r="P76" s="229"/>
      <c r="R76" s="176"/>
      <c r="S76" s="206"/>
    </row>
    <row r="77" s="175" customFormat="1" ht="19" hidden="1" customHeight="1" spans="1:19">
      <c r="A77" s="228"/>
      <c r="B77" s="230" t="s">
        <v>39</v>
      </c>
      <c r="C77" s="176">
        <f>D50</f>
        <v>13698.4</v>
      </c>
      <c r="D77" s="176">
        <f t="shared" ref="D77:N77" si="25">E50</f>
        <v>50441.2</v>
      </c>
      <c r="E77" s="176">
        <f t="shared" si="25"/>
        <v>55106.5</v>
      </c>
      <c r="F77" s="176">
        <f t="shared" si="25"/>
        <v>75167.2</v>
      </c>
      <c r="G77" s="176">
        <f t="shared" si="25"/>
        <v>109775.6</v>
      </c>
      <c r="H77" s="176">
        <f t="shared" si="25"/>
        <v>42744.2</v>
      </c>
      <c r="I77" s="176">
        <f t="shared" si="25"/>
        <v>0</v>
      </c>
      <c r="J77" s="176">
        <f t="shared" si="25"/>
        <v>0</v>
      </c>
      <c r="K77" s="176">
        <f t="shared" si="25"/>
        <v>0</v>
      </c>
      <c r="L77" s="176">
        <f t="shared" si="25"/>
        <v>0</v>
      </c>
      <c r="M77" s="176">
        <f t="shared" si="25"/>
        <v>0</v>
      </c>
      <c r="N77" s="176">
        <f t="shared" si="25"/>
        <v>0</v>
      </c>
      <c r="O77" s="229"/>
      <c r="P77" s="229"/>
      <c r="R77" s="176"/>
      <c r="S77" s="206"/>
    </row>
    <row r="78" s="175" customFormat="1" ht="19" hidden="1" customHeight="1" spans="1:19">
      <c r="A78" s="228"/>
      <c r="B78" s="230" t="s">
        <v>34</v>
      </c>
      <c r="C78" s="176">
        <f>D53</f>
        <v>412220.8</v>
      </c>
      <c r="D78" s="176">
        <f t="shared" ref="D78:N78" si="26">E53</f>
        <v>38363.6</v>
      </c>
      <c r="E78" s="176">
        <f t="shared" si="26"/>
        <v>113096.6</v>
      </c>
      <c r="F78" s="176">
        <f t="shared" si="26"/>
        <v>173048.8</v>
      </c>
      <c r="G78" s="176">
        <f t="shared" si="26"/>
        <v>130056</v>
      </c>
      <c r="H78" s="176">
        <f t="shared" si="26"/>
        <v>195851.2</v>
      </c>
      <c r="I78" s="176">
        <f t="shared" si="26"/>
        <v>0</v>
      </c>
      <c r="J78" s="176">
        <f t="shared" si="26"/>
        <v>0</v>
      </c>
      <c r="K78" s="176">
        <f t="shared" si="26"/>
        <v>0</v>
      </c>
      <c r="L78" s="176">
        <f t="shared" si="26"/>
        <v>0</v>
      </c>
      <c r="M78" s="176">
        <f t="shared" si="26"/>
        <v>0</v>
      </c>
      <c r="N78" s="176">
        <f t="shared" si="26"/>
        <v>0</v>
      </c>
      <c r="O78" s="229"/>
      <c r="P78" s="229"/>
      <c r="R78" s="176"/>
      <c r="S78" s="206"/>
    </row>
    <row r="79" s="175" customFormat="1" ht="19" hidden="1" customHeight="1" spans="1:19">
      <c r="A79" s="228"/>
      <c r="B79" s="230" t="s">
        <v>40</v>
      </c>
      <c r="C79" s="176">
        <f>D56</f>
        <v>24224</v>
      </c>
      <c r="D79" s="176">
        <f t="shared" ref="D79:N79" si="27">E56</f>
        <v>102750</v>
      </c>
      <c r="E79" s="176">
        <f t="shared" si="27"/>
        <v>40226</v>
      </c>
      <c r="F79" s="176">
        <f t="shared" si="27"/>
        <v>50280</v>
      </c>
      <c r="G79" s="176">
        <f t="shared" si="27"/>
        <v>16065</v>
      </c>
      <c r="H79" s="176">
        <f t="shared" si="27"/>
        <v>86304</v>
      </c>
      <c r="I79" s="176">
        <f t="shared" si="27"/>
        <v>0</v>
      </c>
      <c r="J79" s="176">
        <f t="shared" si="27"/>
        <v>0</v>
      </c>
      <c r="K79" s="176">
        <f t="shared" si="27"/>
        <v>0</v>
      </c>
      <c r="L79" s="176">
        <f t="shared" si="27"/>
        <v>0</v>
      </c>
      <c r="M79" s="176">
        <f t="shared" si="27"/>
        <v>0</v>
      </c>
      <c r="N79" s="176">
        <f t="shared" si="27"/>
        <v>0</v>
      </c>
      <c r="O79" s="229"/>
      <c r="P79" s="229"/>
      <c r="R79" s="176"/>
      <c r="S79" s="206"/>
    </row>
    <row r="80" s="175" customFormat="1" ht="19" hidden="1" customHeight="1" spans="1:19">
      <c r="A80" s="228"/>
      <c r="B80" s="230" t="s">
        <v>36</v>
      </c>
      <c r="C80" s="176">
        <f>D59</f>
        <v>642530</v>
      </c>
      <c r="D80" s="176">
        <f t="shared" ref="D80:N80" si="28">E59</f>
        <v>65674.4</v>
      </c>
      <c r="E80" s="176">
        <f t="shared" si="28"/>
        <v>114300</v>
      </c>
      <c r="F80" s="176">
        <f t="shared" si="28"/>
        <v>226260</v>
      </c>
      <c r="G80" s="176">
        <f t="shared" si="28"/>
        <v>245979.4</v>
      </c>
      <c r="H80" s="176">
        <f t="shared" si="28"/>
        <v>396917.2</v>
      </c>
      <c r="I80" s="176">
        <f t="shared" si="28"/>
        <v>0</v>
      </c>
      <c r="J80" s="176">
        <f t="shared" si="28"/>
        <v>0</v>
      </c>
      <c r="K80" s="176">
        <f t="shared" si="28"/>
        <v>0</v>
      </c>
      <c r="L80" s="176">
        <f t="shared" si="28"/>
        <v>0</v>
      </c>
      <c r="M80" s="176">
        <f t="shared" si="28"/>
        <v>0</v>
      </c>
      <c r="N80" s="176">
        <f t="shared" si="28"/>
        <v>0</v>
      </c>
      <c r="O80" s="229"/>
      <c r="P80" s="229"/>
      <c r="R80" s="176"/>
      <c r="S80" s="206"/>
    </row>
    <row r="81" s="175" customFormat="1" ht="19" hidden="1" customHeight="1" spans="1:19">
      <c r="A81" s="228"/>
      <c r="B81" s="230" t="s">
        <v>38</v>
      </c>
      <c r="C81" s="176">
        <f>D65</f>
        <v>619048.3</v>
      </c>
      <c r="D81" s="176">
        <f t="shared" ref="D81:N81" si="29">E65</f>
        <v>-26011.8</v>
      </c>
      <c r="E81" s="176">
        <f t="shared" si="29"/>
        <v>86744.9</v>
      </c>
      <c r="F81" s="176">
        <f t="shared" si="29"/>
        <v>144988.8</v>
      </c>
      <c r="G81" s="176">
        <f t="shared" si="29"/>
        <v>145373</v>
      </c>
      <c r="H81" s="176">
        <f t="shared" si="29"/>
        <v>116555</v>
      </c>
      <c r="I81" s="176">
        <f t="shared" si="29"/>
        <v>0</v>
      </c>
      <c r="J81" s="176">
        <f t="shared" si="29"/>
        <v>0</v>
      </c>
      <c r="K81" s="176">
        <f t="shared" si="29"/>
        <v>0</v>
      </c>
      <c r="L81" s="176">
        <f t="shared" si="29"/>
        <v>0</v>
      </c>
      <c r="M81" s="176">
        <f t="shared" si="29"/>
        <v>0</v>
      </c>
      <c r="N81" s="176">
        <f t="shared" si="29"/>
        <v>0</v>
      </c>
      <c r="O81" s="229"/>
      <c r="P81" s="229"/>
      <c r="R81" s="176"/>
      <c r="S81" s="206"/>
    </row>
    <row r="82" s="175" customFormat="1" ht="19" hidden="1" customHeight="1" spans="1:19">
      <c r="A82" s="228"/>
      <c r="B82" s="228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229"/>
      <c r="P82" s="229"/>
      <c r="R82" s="176"/>
      <c r="S82" s="206"/>
    </row>
    <row r="83" s="175" customFormat="1" ht="19" hidden="1" customHeight="1" spans="1:19">
      <c r="A83" s="228"/>
      <c r="B83" s="228">
        <v>2</v>
      </c>
      <c r="C83" s="176"/>
      <c r="D83" s="229"/>
      <c r="E83" s="229"/>
      <c r="F83" s="229"/>
      <c r="G83" s="229"/>
      <c r="H83" s="229"/>
      <c r="I83" s="229"/>
      <c r="J83" s="229"/>
      <c r="K83" s="229"/>
      <c r="L83" s="229"/>
      <c r="M83" s="229"/>
      <c r="N83" s="229"/>
      <c r="O83" s="229"/>
      <c r="P83" s="229"/>
      <c r="Q83" s="175"/>
      <c r="R83" s="176"/>
      <c r="S83" s="206"/>
    </row>
    <row r="84" s="175" customFormat="1" ht="19" hidden="1" customHeight="1" spans="1:19">
      <c r="A84" s="228"/>
      <c r="B84" s="228" t="s">
        <v>23</v>
      </c>
      <c r="C84" s="176" t="s">
        <v>5</v>
      </c>
      <c r="D84" s="229" t="s">
        <v>6</v>
      </c>
      <c r="E84" s="229" t="s">
        <v>7</v>
      </c>
      <c r="F84" s="229" t="s">
        <v>8</v>
      </c>
      <c r="G84" s="229" t="s">
        <v>9</v>
      </c>
      <c r="H84" s="229" t="s">
        <v>10</v>
      </c>
      <c r="I84" s="229" t="s">
        <v>11</v>
      </c>
      <c r="J84" s="229" t="s">
        <v>12</v>
      </c>
      <c r="K84" s="229" t="s">
        <v>13</v>
      </c>
      <c r="L84" s="229" t="s">
        <v>14</v>
      </c>
      <c r="M84" s="229" t="s">
        <v>15</v>
      </c>
      <c r="N84" s="229" t="s">
        <v>16</v>
      </c>
      <c r="O84" s="229"/>
      <c r="P84" s="229"/>
      <c r="Q84" s="175"/>
      <c r="R84" s="176"/>
      <c r="S84" s="206"/>
    </row>
    <row r="85" s="175" customFormat="1" ht="19" hidden="1" customHeight="1" spans="1:19">
      <c r="A85" s="228"/>
      <c r="B85" s="228" t="str" cm="1">
        <f t="array" ref="B85">INDEX(B69:B81,$B$83)</f>
        <v>刘虹晶</v>
      </c>
      <c r="C85" s="207" cm="1">
        <f t="array" ref="C85:N85">_xlfn._xlws.FILTER(C69:N81,B69:B81=B85)</f>
        <v>478815</v>
      </c>
      <c r="D85" s="207">
        <v>228431</v>
      </c>
      <c r="E85" s="207">
        <v>392192</v>
      </c>
      <c r="F85" s="207">
        <v>461507</v>
      </c>
      <c r="G85" s="207">
        <v>868140</v>
      </c>
      <c r="H85" s="207">
        <v>1250</v>
      </c>
      <c r="I85" s="207">
        <v>0</v>
      </c>
      <c r="J85" s="207">
        <v>0</v>
      </c>
      <c r="K85" s="207">
        <v>0</v>
      </c>
      <c r="L85" s="207">
        <v>0</v>
      </c>
      <c r="M85" s="207">
        <v>0</v>
      </c>
      <c r="N85" s="207">
        <v>0</v>
      </c>
      <c r="O85" s="207"/>
      <c r="P85" s="229"/>
      <c r="Q85" s="175"/>
      <c r="R85" s="176"/>
      <c r="S85" s="206"/>
    </row>
    <row r="86" s="175" customFormat="1" ht="19" customHeight="1" spans="1:19">
      <c r="A86" s="228"/>
      <c r="B86" s="228"/>
      <c r="C86" s="207"/>
      <c r="D86" s="207"/>
      <c r="E86" s="207"/>
      <c r="F86" s="207"/>
      <c r="G86" s="207"/>
      <c r="H86" s="207"/>
      <c r="I86" s="207"/>
      <c r="J86" s="207"/>
      <c r="K86" s="207"/>
      <c r="L86" s="207"/>
      <c r="M86" s="207"/>
      <c r="N86" s="207"/>
      <c r="O86" s="207"/>
      <c r="P86" s="229"/>
      <c r="Q86" s="175"/>
      <c r="R86" s="176"/>
      <c r="S86" s="206"/>
    </row>
    <row r="87" spans="1:19">
      <c r="B87" s="228"/>
      <c r="F87" s="206"/>
      <c r="I87" s="206"/>
      <c r="J87" s="176"/>
      <c r="K87" s="177"/>
      <c r="L87" s="206"/>
      <c r="O87" s="206"/>
      <c r="S87" s="206"/>
    </row>
    <row r="88" ht="32" customHeight="1" spans="1:19">
      <c r="B88" s="228"/>
      <c r="F88" s="206"/>
      <c r="I88" s="206"/>
      <c r="J88" s="176"/>
      <c r="K88" s="177"/>
      <c r="L88" s="206"/>
      <c r="O88" s="206"/>
      <c r="S88" s="207"/>
    </row>
    <row r="89" ht="32" customHeight="1" spans="1:19">
      <c r="B89" s="228"/>
      <c r="F89" s="206"/>
      <c r="I89" s="206"/>
      <c r="J89" s="176"/>
      <c r="K89" s="177"/>
      <c r="L89" s="206"/>
      <c r="O89" s="206"/>
      <c r="S89" s="207"/>
    </row>
    <row r="90" ht="32" customHeight="1" spans="1:19">
      <c r="B90" s="228"/>
      <c r="F90" s="206"/>
      <c r="I90" s="206"/>
      <c r="J90" s="176"/>
      <c r="K90" s="177"/>
      <c r="L90" s="206"/>
      <c r="O90" s="206"/>
      <c r="S90" s="207"/>
    </row>
    <row r="91" ht="32" customHeight="1" spans="1:19">
      <c r="B91" s="228"/>
      <c r="F91" s="206"/>
      <c r="I91" s="206"/>
      <c r="J91" s="176"/>
      <c r="K91" s="177"/>
      <c r="L91" s="206"/>
      <c r="O91" s="206"/>
      <c r="S91" s="207"/>
    </row>
    <row r="92" ht="32" customHeight="1" spans="1:19">
      <c r="B92" s="228"/>
      <c r="F92" s="206"/>
      <c r="I92" s="206"/>
      <c r="J92" s="176"/>
      <c r="K92" s="177"/>
      <c r="L92" s="206"/>
      <c r="O92" s="206"/>
      <c r="S92" s="207"/>
    </row>
    <row r="93" ht="32" customHeight="1" spans="1:19">
      <c r="B93" s="228"/>
      <c r="F93" s="206"/>
      <c r="I93" s="206"/>
      <c r="J93" s="176"/>
      <c r="K93" s="177"/>
      <c r="L93" s="206"/>
      <c r="O93" s="206"/>
      <c r="S93" s="207"/>
    </row>
    <row r="94" ht="32" customHeight="1" spans="1:19">
      <c r="S94" s="207"/>
    </row>
    <row r="95" ht="32" customHeight="1" spans="1:19">
      <c r="S95" s="207"/>
    </row>
    <row r="96" ht="44" customHeight="1" spans="1:19">
      <c r="S96" s="207"/>
    </row>
    <row r="97" ht="22.5" spans="1:19">
      <c r="A97" s="185" t="s">
        <v>41</v>
      </c>
      <c r="B97" s="185"/>
      <c r="C97" s="185"/>
      <c r="D97" s="185"/>
      <c r="E97" s="185"/>
      <c r="S97" s="207"/>
    </row>
    <row r="98" spans="1:19">
      <c r="A98" s="212" t="s">
        <v>42</v>
      </c>
      <c r="B98" s="213"/>
      <c r="C98" s="189" t="s">
        <v>4</v>
      </c>
      <c r="D98" s="190" t="s">
        <v>5</v>
      </c>
      <c r="E98" s="190" t="s">
        <v>6</v>
      </c>
      <c r="F98" s="190" t="s">
        <v>7</v>
      </c>
      <c r="G98" s="190" t="s">
        <v>8</v>
      </c>
      <c r="H98" s="190" t="s">
        <v>9</v>
      </c>
      <c r="I98" s="190" t="s">
        <v>10</v>
      </c>
      <c r="J98" s="190" t="s">
        <v>11</v>
      </c>
      <c r="K98" s="190" t="s">
        <v>12</v>
      </c>
      <c r="L98" s="190" t="s">
        <v>13</v>
      </c>
      <c r="M98" s="190" t="s">
        <v>14</v>
      </c>
      <c r="N98" s="190" t="s">
        <v>15</v>
      </c>
      <c r="O98" s="190" t="s">
        <v>16</v>
      </c>
      <c r="P98" s="191" t="s">
        <v>17</v>
      </c>
      <c r="S98" s="207"/>
    </row>
    <row r="99" ht="23" customHeight="1" spans="1:19">
      <c r="A99" s="216" t="s">
        <v>43</v>
      </c>
      <c r="B99" s="216"/>
      <c r="C99" s="215" t="s">
        <v>19</v>
      </c>
      <c r="D99" s="215">
        <v>7.5</v>
      </c>
      <c r="E99" s="215">
        <v>7.5</v>
      </c>
      <c r="F99" s="215">
        <v>7.5</v>
      </c>
      <c r="G99" s="215">
        <v>7.5</v>
      </c>
      <c r="H99" s="215">
        <v>7.5</v>
      </c>
      <c r="I99" s="215">
        <v>7.5</v>
      </c>
      <c r="J99" s="215">
        <v>7.5</v>
      </c>
      <c r="K99" s="215">
        <v>7.5</v>
      </c>
      <c r="L99" s="215">
        <v>7.5</v>
      </c>
      <c r="M99" s="215">
        <v>7.5</v>
      </c>
      <c r="N99" s="215">
        <v>7.5</v>
      </c>
      <c r="O99" s="215">
        <v>7.5</v>
      </c>
      <c r="P99" s="191">
        <v>90</v>
      </c>
      <c r="S99" s="207"/>
    </row>
    <row r="100" ht="23" customHeight="1" spans="1:19">
      <c r="A100" s="216"/>
      <c r="B100" s="216"/>
      <c r="C100" s="215" t="s">
        <v>20</v>
      </c>
      <c r="D100" s="231">
        <f>D137+D143+D149+D155+D167+D173+D185+D191+D197+D203+D209+D221+D161</f>
        <v>10.5</v>
      </c>
      <c r="E100" s="231">
        <f>E137+E143+E149+E155+E167+E173+E185+E191+E197+E203+E209+E221+E161</f>
        <v>4.5</v>
      </c>
      <c r="F100" s="231">
        <f>F137+F143+F149+F155+F167+F173+F185+F191+F197+F203+F209+F221+F161</f>
        <v>5</v>
      </c>
      <c r="G100" s="231">
        <f>G137+G143+G149+G155+G167+G173+G185+G191+G197+G203+G209+G221+G161</f>
        <v>5.5</v>
      </c>
      <c r="H100" s="231">
        <f t="shared" ref="H100:O100" si="30">H137+H143+H149+H155+H167+H173+H185+H191+H197+H203+H209+H221+H161</f>
        <v>5.5</v>
      </c>
      <c r="I100" s="231">
        <f t="shared" si="30"/>
        <v>5</v>
      </c>
      <c r="J100" s="231">
        <f t="shared" si="30"/>
        <v>0</v>
      </c>
      <c r="K100" s="231">
        <f t="shared" si="30"/>
        <v>0</v>
      </c>
      <c r="L100" s="231">
        <f t="shared" si="30"/>
        <v>0</v>
      </c>
      <c r="M100" s="231">
        <f t="shared" si="30"/>
        <v>0</v>
      </c>
      <c r="N100" s="231">
        <f t="shared" si="30"/>
        <v>0</v>
      </c>
      <c r="O100" s="231">
        <f t="shared" si="30"/>
        <v>0</v>
      </c>
      <c r="P100" s="191">
        <f>SUM(D100:O100)</f>
        <v>36</v>
      </c>
    </row>
    <row r="101" ht="23" customHeight="1" spans="1:19">
      <c r="A101" s="216"/>
      <c r="B101" s="216"/>
      <c r="C101" s="219" t="s">
        <v>21</v>
      </c>
      <c r="D101" s="220">
        <f>D100/D99</f>
        <v>1.4</v>
      </c>
      <c r="E101" s="220">
        <f t="shared" ref="E101:P101" si="31">E100/E99</f>
        <v>0.6</v>
      </c>
      <c r="F101" s="220">
        <f t="shared" si="31"/>
        <v>0.666666666666667</v>
      </c>
      <c r="G101" s="220">
        <f t="shared" si="31"/>
        <v>0.733333333333333</v>
      </c>
      <c r="H101" s="220">
        <f t="shared" si="31"/>
        <v>0.733333333333333</v>
      </c>
      <c r="I101" s="220">
        <f t="shared" si="31"/>
        <v>0.666666666666667</v>
      </c>
      <c r="J101" s="220">
        <f t="shared" si="31"/>
        <v>0</v>
      </c>
      <c r="K101" s="220">
        <f t="shared" si="31"/>
        <v>0</v>
      </c>
      <c r="L101" s="220">
        <f t="shared" si="31"/>
        <v>0</v>
      </c>
      <c r="M101" s="220">
        <f t="shared" si="31"/>
        <v>0</v>
      </c>
      <c r="N101" s="220">
        <f t="shared" si="31"/>
        <v>0</v>
      </c>
      <c r="O101" s="220">
        <f t="shared" si="31"/>
        <v>0</v>
      </c>
      <c r="P101" s="221">
        <f t="shared" si="31"/>
        <v>0.4</v>
      </c>
    </row>
    <row r="102" ht="22" customHeight="1" spans="1:19">
      <c r="A102" s="216" t="s">
        <v>44</v>
      </c>
      <c r="B102" s="216"/>
      <c r="C102" s="215" t="s">
        <v>19</v>
      </c>
      <c r="D102" s="215">
        <v>3</v>
      </c>
      <c r="E102" s="215">
        <v>3</v>
      </c>
      <c r="F102" s="215">
        <v>3</v>
      </c>
      <c r="G102" s="215">
        <v>3</v>
      </c>
      <c r="H102" s="215">
        <v>3</v>
      </c>
      <c r="I102" s="215">
        <v>3</v>
      </c>
      <c r="J102" s="215">
        <v>3</v>
      </c>
      <c r="K102" s="215">
        <v>3</v>
      </c>
      <c r="L102" s="215">
        <v>3</v>
      </c>
      <c r="M102" s="215">
        <v>3</v>
      </c>
      <c r="N102" s="215">
        <v>3</v>
      </c>
      <c r="O102" s="215">
        <v>3</v>
      </c>
      <c r="P102" s="191">
        <v>36</v>
      </c>
    </row>
    <row r="103" ht="22" customHeight="1" spans="1:19">
      <c r="A103" s="216"/>
      <c r="B103" s="216"/>
      <c r="C103" s="215" t="s">
        <v>20</v>
      </c>
      <c r="D103" s="231">
        <f t="shared" ref="D103:O103" si="32">D140+D146+D152+D158+D170+D176+D188+D194+D200+D206+D212+D224+D164</f>
        <v>0</v>
      </c>
      <c r="E103" s="231">
        <f t="shared" si="32"/>
        <v>0</v>
      </c>
      <c r="F103" s="231">
        <f t="shared" si="32"/>
        <v>0</v>
      </c>
      <c r="G103" s="231">
        <f t="shared" si="32"/>
        <v>0</v>
      </c>
      <c r="H103" s="231">
        <f t="shared" si="32"/>
        <v>0</v>
      </c>
      <c r="I103" s="231">
        <f t="shared" si="32"/>
        <v>0</v>
      </c>
      <c r="J103" s="231">
        <f t="shared" si="32"/>
        <v>0</v>
      </c>
      <c r="K103" s="231">
        <f t="shared" si="32"/>
        <v>0</v>
      </c>
      <c r="L103" s="231">
        <f t="shared" si="32"/>
        <v>0</v>
      </c>
      <c r="M103" s="231">
        <f t="shared" si="32"/>
        <v>0</v>
      </c>
      <c r="N103" s="231">
        <f t="shared" si="32"/>
        <v>0</v>
      </c>
      <c r="O103" s="231">
        <f t="shared" si="32"/>
        <v>0</v>
      </c>
      <c r="P103" s="191">
        <f>SUM(D103:O103)</f>
        <v>0</v>
      </c>
    </row>
    <row r="104" ht="22" customHeight="1" spans="1:19">
      <c r="A104" s="216"/>
      <c r="B104" s="216"/>
      <c r="C104" s="219" t="s">
        <v>21</v>
      </c>
      <c r="D104" s="220">
        <f t="shared" ref="D104:P104" si="33">D103/D102</f>
        <v>0</v>
      </c>
      <c r="E104" s="220">
        <f t="shared" si="33"/>
        <v>0</v>
      </c>
      <c r="F104" s="220">
        <f t="shared" si="33"/>
        <v>0</v>
      </c>
      <c r="G104" s="220">
        <f t="shared" si="33"/>
        <v>0</v>
      </c>
      <c r="H104" s="220">
        <f t="shared" si="33"/>
        <v>0</v>
      </c>
      <c r="I104" s="220">
        <f t="shared" si="33"/>
        <v>0</v>
      </c>
      <c r="J104" s="220">
        <f t="shared" si="33"/>
        <v>0</v>
      </c>
      <c r="K104" s="220">
        <f t="shared" si="33"/>
        <v>0</v>
      </c>
      <c r="L104" s="220">
        <f t="shared" si="33"/>
        <v>0</v>
      </c>
      <c r="M104" s="220">
        <f t="shared" si="33"/>
        <v>0</v>
      </c>
      <c r="N104" s="220">
        <f t="shared" si="33"/>
        <v>0</v>
      </c>
      <c r="O104" s="220">
        <f t="shared" si="33"/>
        <v>0</v>
      </c>
      <c r="P104" s="221">
        <f t="shared" si="33"/>
        <v>0</v>
      </c>
    </row>
    <row r="105" s="62" customFormat="1" ht="22" hidden="1" customHeight="1" spans="1:19">
      <c r="A105" s="175"/>
      <c r="B105" s="175"/>
      <c r="C105" s="176"/>
      <c r="D105" s="229"/>
      <c r="E105" s="229"/>
      <c r="F105" s="229"/>
      <c r="G105" s="229"/>
      <c r="H105" s="229"/>
      <c r="I105" s="229"/>
      <c r="J105" s="229"/>
      <c r="K105" s="229"/>
      <c r="L105" s="229"/>
      <c r="M105" s="229"/>
      <c r="N105" s="229"/>
      <c r="O105" s="229"/>
      <c r="P105" s="229"/>
      <c r="Q105" s="175"/>
      <c r="R105" s="176"/>
    </row>
    <row r="106" s="175" customFormat="1" ht="22" hidden="1" customHeight="1" spans="1:19">
      <c r="C106" s="176" t="s">
        <v>5</v>
      </c>
      <c r="D106" s="229" t="s">
        <v>6</v>
      </c>
      <c r="E106" s="229" t="s">
        <v>7</v>
      </c>
      <c r="F106" s="229" t="s">
        <v>8</v>
      </c>
      <c r="G106" s="229" t="s">
        <v>9</v>
      </c>
      <c r="H106" s="229" t="s">
        <v>10</v>
      </c>
      <c r="I106" s="229" t="s">
        <v>11</v>
      </c>
      <c r="J106" s="229" t="s">
        <v>12</v>
      </c>
      <c r="K106" s="229" t="s">
        <v>13</v>
      </c>
      <c r="L106" s="229" t="s">
        <v>14</v>
      </c>
      <c r="M106" s="229" t="s">
        <v>15</v>
      </c>
      <c r="N106" s="229" t="s">
        <v>16</v>
      </c>
      <c r="O106" s="229"/>
      <c r="P106" s="229"/>
      <c r="Q106" s="175"/>
      <c r="R106" s="176"/>
    </row>
    <row r="107" s="175" customFormat="1" ht="22" hidden="1" customHeight="1" spans="1:19">
      <c r="B107" s="175" t="s">
        <v>45</v>
      </c>
      <c r="C107" s="176">
        <f>D99</f>
        <v>7.5</v>
      </c>
      <c r="D107" s="176">
        <f t="shared" ref="D107:N107" si="34">E99</f>
        <v>7.5</v>
      </c>
      <c r="E107" s="176">
        <f t="shared" si="34"/>
        <v>7.5</v>
      </c>
      <c r="F107" s="176">
        <f t="shared" si="34"/>
        <v>7.5</v>
      </c>
      <c r="G107" s="176">
        <f t="shared" si="34"/>
        <v>7.5</v>
      </c>
      <c r="H107" s="176">
        <f t="shared" si="34"/>
        <v>7.5</v>
      </c>
      <c r="I107" s="176">
        <f t="shared" si="34"/>
        <v>7.5</v>
      </c>
      <c r="J107" s="176">
        <f t="shared" si="34"/>
        <v>7.5</v>
      </c>
      <c r="K107" s="176">
        <f t="shared" si="34"/>
        <v>7.5</v>
      </c>
      <c r="L107" s="176">
        <f t="shared" si="34"/>
        <v>7.5</v>
      </c>
      <c r="M107" s="176">
        <f t="shared" si="34"/>
        <v>7.5</v>
      </c>
      <c r="N107" s="176">
        <f t="shared" si="34"/>
        <v>7.5</v>
      </c>
      <c r="O107" s="229" t="b">
        <v>1</v>
      </c>
      <c r="P107" s="229"/>
      <c r="Q107" s="175"/>
      <c r="R107" s="176"/>
    </row>
    <row r="108" s="175" customFormat="1" ht="22" hidden="1" customHeight="1" spans="1:19">
      <c r="B108" s="175" t="s">
        <v>46</v>
      </c>
      <c r="C108" s="176">
        <f t="shared" ref="C108:N108" si="35">D100</f>
        <v>10.5</v>
      </c>
      <c r="D108" s="176">
        <f t="shared" si="35"/>
        <v>4.5</v>
      </c>
      <c r="E108" s="176">
        <f t="shared" si="35"/>
        <v>5</v>
      </c>
      <c r="F108" s="176">
        <f t="shared" si="35"/>
        <v>5.5</v>
      </c>
      <c r="G108" s="176">
        <f t="shared" si="35"/>
        <v>5.5</v>
      </c>
      <c r="H108" s="176">
        <f t="shared" si="35"/>
        <v>5</v>
      </c>
      <c r="I108" s="176">
        <f t="shared" si="35"/>
        <v>0</v>
      </c>
      <c r="J108" s="176">
        <f t="shared" si="35"/>
        <v>0</v>
      </c>
      <c r="K108" s="176">
        <f t="shared" si="35"/>
        <v>0</v>
      </c>
      <c r="L108" s="176">
        <f t="shared" si="35"/>
        <v>0</v>
      </c>
      <c r="M108" s="176">
        <f t="shared" si="35"/>
        <v>0</v>
      </c>
      <c r="N108" s="176">
        <f t="shared" si="35"/>
        <v>0</v>
      </c>
      <c r="O108" s="229" t="b">
        <v>1</v>
      </c>
      <c r="P108" s="229"/>
      <c r="Q108" s="175"/>
      <c r="R108" s="176"/>
    </row>
    <row r="109" s="175" customFormat="1" ht="22" hidden="1" customHeight="1" spans="1:19">
      <c r="B109" s="175" t="s">
        <v>47</v>
      </c>
      <c r="C109" s="176">
        <f>D102</f>
        <v>3</v>
      </c>
      <c r="D109" s="176">
        <f t="shared" ref="D109:N109" si="36">E102</f>
        <v>3</v>
      </c>
      <c r="E109" s="176">
        <f t="shared" si="36"/>
        <v>3</v>
      </c>
      <c r="F109" s="176">
        <f t="shared" si="36"/>
        <v>3</v>
      </c>
      <c r="G109" s="176">
        <f t="shared" si="36"/>
        <v>3</v>
      </c>
      <c r="H109" s="176">
        <f t="shared" si="36"/>
        <v>3</v>
      </c>
      <c r="I109" s="176">
        <f t="shared" si="36"/>
        <v>3</v>
      </c>
      <c r="J109" s="176">
        <f t="shared" si="36"/>
        <v>3</v>
      </c>
      <c r="K109" s="176">
        <f t="shared" si="36"/>
        <v>3</v>
      </c>
      <c r="L109" s="176">
        <f t="shared" si="36"/>
        <v>3</v>
      </c>
      <c r="M109" s="176">
        <f t="shared" si="36"/>
        <v>3</v>
      </c>
      <c r="N109" s="176">
        <f t="shared" si="36"/>
        <v>3</v>
      </c>
      <c r="O109" s="229" t="b">
        <v>0</v>
      </c>
      <c r="P109" s="229"/>
      <c r="Q109" s="175"/>
      <c r="R109" s="176"/>
    </row>
    <row r="110" s="175" customFormat="1" ht="22" hidden="1" customHeight="1" spans="1:19">
      <c r="B110" s="175" t="s">
        <v>48</v>
      </c>
      <c r="C110" s="176">
        <f t="shared" ref="C110:N110" si="37">D103</f>
        <v>0</v>
      </c>
      <c r="D110" s="176">
        <f t="shared" si="37"/>
        <v>0</v>
      </c>
      <c r="E110" s="176">
        <f t="shared" si="37"/>
        <v>0</v>
      </c>
      <c r="F110" s="176">
        <f t="shared" si="37"/>
        <v>0</v>
      </c>
      <c r="G110" s="176">
        <f t="shared" si="37"/>
        <v>0</v>
      </c>
      <c r="H110" s="176">
        <f t="shared" si="37"/>
        <v>0</v>
      </c>
      <c r="I110" s="176">
        <f t="shared" si="37"/>
        <v>0</v>
      </c>
      <c r="J110" s="176">
        <f t="shared" si="37"/>
        <v>0</v>
      </c>
      <c r="K110" s="176">
        <f t="shared" si="37"/>
        <v>0</v>
      </c>
      <c r="L110" s="176">
        <f t="shared" si="37"/>
        <v>0</v>
      </c>
      <c r="M110" s="176">
        <f t="shared" si="37"/>
        <v>0</v>
      </c>
      <c r="N110" s="176">
        <f t="shared" si="37"/>
        <v>0</v>
      </c>
      <c r="O110" s="229" t="b">
        <v>0</v>
      </c>
      <c r="P110" s="229"/>
      <c r="Q110" s="175"/>
      <c r="R110" s="176"/>
    </row>
    <row r="111" s="175" customFormat="1" ht="22" hidden="1" customHeight="1" spans="1:19">
      <c r="C111" s="176"/>
      <c r="D111" s="229"/>
      <c r="E111" s="229"/>
      <c r="F111" s="229"/>
      <c r="G111" s="229"/>
      <c r="H111" s="229"/>
      <c r="I111" s="229"/>
      <c r="J111" s="229"/>
      <c r="K111" s="229"/>
      <c r="L111" s="229"/>
      <c r="M111" s="229"/>
      <c r="N111" s="229"/>
      <c r="O111" s="229"/>
      <c r="P111" s="229"/>
      <c r="Q111" s="175"/>
      <c r="R111" s="176"/>
    </row>
    <row r="112" s="175" customFormat="1" ht="22" hidden="1" customHeight="1" spans="1:19">
      <c r="C112" s="176" t="s">
        <v>5</v>
      </c>
      <c r="D112" s="229" t="s">
        <v>6</v>
      </c>
      <c r="E112" s="229" t="s">
        <v>7</v>
      </c>
      <c r="F112" s="229" t="s">
        <v>8</v>
      </c>
      <c r="G112" s="229" t="s">
        <v>9</v>
      </c>
      <c r="H112" s="229" t="s">
        <v>10</v>
      </c>
      <c r="I112" s="229" t="s">
        <v>11</v>
      </c>
      <c r="J112" s="229" t="s">
        <v>12</v>
      </c>
      <c r="K112" s="229" t="s">
        <v>13</v>
      </c>
      <c r="L112" s="229" t="s">
        <v>14</v>
      </c>
      <c r="M112" s="229" t="s">
        <v>15</v>
      </c>
      <c r="N112" s="229" t="s">
        <v>16</v>
      </c>
      <c r="O112" s="229"/>
      <c r="P112" s="229"/>
      <c r="Q112" s="175"/>
      <c r="R112" s="176"/>
    </row>
    <row r="113" s="175" customFormat="1" ht="22" hidden="1" customHeight="1" spans="2:18">
      <c r="B113" s="175" t="s">
        <v>45</v>
      </c>
      <c r="C113" s="176">
        <f>IF($O107=TRUE,C107,NA())</f>
        <v>7.5</v>
      </c>
      <c r="D113" s="176">
        <f t="shared" ref="D113:N113" si="38">IF($O107=TRUE,D107,NA())</f>
        <v>7.5</v>
      </c>
      <c r="E113" s="176">
        <f t="shared" si="38"/>
        <v>7.5</v>
      </c>
      <c r="F113" s="176">
        <f t="shared" si="38"/>
        <v>7.5</v>
      </c>
      <c r="G113" s="176">
        <f t="shared" si="38"/>
        <v>7.5</v>
      </c>
      <c r="H113" s="176">
        <f t="shared" si="38"/>
        <v>7.5</v>
      </c>
      <c r="I113" s="176">
        <f t="shared" si="38"/>
        <v>7.5</v>
      </c>
      <c r="J113" s="176">
        <f t="shared" si="38"/>
        <v>7.5</v>
      </c>
      <c r="K113" s="176">
        <f t="shared" si="38"/>
        <v>7.5</v>
      </c>
      <c r="L113" s="176">
        <f t="shared" si="38"/>
        <v>7.5</v>
      </c>
      <c r="M113" s="176">
        <f t="shared" si="38"/>
        <v>7.5</v>
      </c>
      <c r="N113" s="176">
        <f t="shared" si="38"/>
        <v>7.5</v>
      </c>
      <c r="O113" s="229"/>
      <c r="P113" s="229"/>
      <c r="Q113" s="175"/>
      <c r="R113" s="176"/>
    </row>
    <row r="114" s="175" customFormat="1" ht="22" hidden="1" customHeight="1" spans="2:18">
      <c r="B114" s="175" t="s">
        <v>46</v>
      </c>
      <c r="C114" s="176">
        <f t="shared" ref="C114:N114" si="39">IF($O108=TRUE,C108,NA())</f>
        <v>10.5</v>
      </c>
      <c r="D114" s="176">
        <f t="shared" si="39"/>
        <v>4.5</v>
      </c>
      <c r="E114" s="176">
        <f t="shared" si="39"/>
        <v>5</v>
      </c>
      <c r="F114" s="176">
        <f t="shared" si="39"/>
        <v>5.5</v>
      </c>
      <c r="G114" s="176">
        <f t="shared" si="39"/>
        <v>5.5</v>
      </c>
      <c r="H114" s="176">
        <f t="shared" si="39"/>
        <v>5</v>
      </c>
      <c r="I114" s="176">
        <f t="shared" si="39"/>
        <v>0</v>
      </c>
      <c r="J114" s="176">
        <f t="shared" si="39"/>
        <v>0</v>
      </c>
      <c r="K114" s="176">
        <f t="shared" si="39"/>
        <v>0</v>
      </c>
      <c r="L114" s="176">
        <f t="shared" si="39"/>
        <v>0</v>
      </c>
      <c r="M114" s="176">
        <f t="shared" si="39"/>
        <v>0</v>
      </c>
      <c r="N114" s="176">
        <f t="shared" si="39"/>
        <v>0</v>
      </c>
      <c r="O114" s="229"/>
      <c r="P114" s="229"/>
      <c r="Q114" s="175"/>
      <c r="R114" s="176"/>
    </row>
    <row r="115" s="175" customFormat="1" ht="22" hidden="1" customHeight="1" spans="2:18">
      <c r="B115" s="175" t="s">
        <v>47</v>
      </c>
      <c r="C115" s="176" t="e">
        <f t="shared" ref="C115:N115" si="40">IF($O109=TRUE,C109,NA())</f>
        <v>#N/A</v>
      </c>
      <c r="D115" s="176" t="e">
        <f t="shared" si="40"/>
        <v>#N/A</v>
      </c>
      <c r="E115" s="176" t="e">
        <f t="shared" si="40"/>
        <v>#N/A</v>
      </c>
      <c r="F115" s="176" t="e">
        <f t="shared" si="40"/>
        <v>#N/A</v>
      </c>
      <c r="G115" s="176" t="e">
        <f t="shared" si="40"/>
        <v>#N/A</v>
      </c>
      <c r="H115" s="176" t="e">
        <f t="shared" si="40"/>
        <v>#N/A</v>
      </c>
      <c r="I115" s="176" t="e">
        <f t="shared" si="40"/>
        <v>#N/A</v>
      </c>
      <c r="J115" s="176" t="e">
        <f t="shared" si="40"/>
        <v>#N/A</v>
      </c>
      <c r="K115" s="176" t="e">
        <f t="shared" si="40"/>
        <v>#N/A</v>
      </c>
      <c r="L115" s="176" t="e">
        <f t="shared" si="40"/>
        <v>#N/A</v>
      </c>
      <c r="M115" s="176" t="e">
        <f t="shared" si="40"/>
        <v>#N/A</v>
      </c>
      <c r="N115" s="176" t="e">
        <f t="shared" si="40"/>
        <v>#N/A</v>
      </c>
      <c r="O115" s="229"/>
      <c r="P115" s="229"/>
      <c r="Q115" s="175"/>
      <c r="R115" s="176"/>
    </row>
    <row r="116" s="175" customFormat="1" ht="22" hidden="1" customHeight="1" spans="2:18">
      <c r="B116" s="175" t="s">
        <v>48</v>
      </c>
      <c r="C116" s="176" t="e">
        <f t="shared" ref="C116:N116" si="41">IF($O110=TRUE,C110,NA())</f>
        <v>#N/A</v>
      </c>
      <c r="D116" s="176" t="e">
        <f t="shared" si="41"/>
        <v>#N/A</v>
      </c>
      <c r="E116" s="176" t="e">
        <f t="shared" si="41"/>
        <v>#N/A</v>
      </c>
      <c r="F116" s="176" t="e">
        <f t="shared" si="41"/>
        <v>#N/A</v>
      </c>
      <c r="G116" s="176" t="e">
        <f t="shared" si="41"/>
        <v>#N/A</v>
      </c>
      <c r="H116" s="176" t="e">
        <f t="shared" si="41"/>
        <v>#N/A</v>
      </c>
      <c r="I116" s="176" t="e">
        <f t="shared" si="41"/>
        <v>#N/A</v>
      </c>
      <c r="J116" s="176" t="e">
        <f t="shared" si="41"/>
        <v>#N/A</v>
      </c>
      <c r="K116" s="176" t="e">
        <f t="shared" si="41"/>
        <v>#N/A</v>
      </c>
      <c r="L116" s="176" t="e">
        <f t="shared" si="41"/>
        <v>#N/A</v>
      </c>
      <c r="M116" s="176" t="e">
        <f t="shared" si="41"/>
        <v>#N/A</v>
      </c>
      <c r="N116" s="176" t="e">
        <f t="shared" si="41"/>
        <v>#N/A</v>
      </c>
      <c r="O116" s="229"/>
      <c r="P116" s="229"/>
      <c r="Q116" s="175"/>
      <c r="R116" s="176"/>
    </row>
    <row r="117" s="175" customFormat="1" ht="22" hidden="1" customHeight="1" spans="2:18">
      <c r="C117" s="176"/>
      <c r="D117" s="229"/>
      <c r="E117" s="229"/>
      <c r="F117" s="229"/>
      <c r="G117" s="229"/>
      <c r="H117" s="229"/>
      <c r="I117" s="229"/>
      <c r="J117" s="229"/>
      <c r="K117" s="229"/>
      <c r="L117" s="229"/>
      <c r="M117" s="229"/>
      <c r="N117" s="229"/>
      <c r="O117" s="229"/>
      <c r="P117" s="229"/>
      <c r="Q117" s="175"/>
      <c r="R117" s="176"/>
    </row>
    <row r="118" ht="18" customHeight="1" spans="2:18">
      <c r="C118" s="176"/>
      <c r="D118" s="229"/>
      <c r="E118" s="229"/>
      <c r="F118" s="229"/>
      <c r="G118" s="229"/>
      <c r="H118" s="229"/>
      <c r="I118" s="229"/>
      <c r="J118" s="229"/>
      <c r="K118" s="229"/>
      <c r="L118" s="229"/>
      <c r="M118" s="229"/>
      <c r="N118" s="229"/>
      <c r="O118" s="229"/>
      <c r="P118" s="229"/>
    </row>
    <row r="119" ht="18" customHeight="1" spans="2:18">
      <c r="C119" s="176"/>
      <c r="D119" s="229"/>
      <c r="E119" s="229"/>
      <c r="F119" s="229"/>
      <c r="G119" s="229"/>
      <c r="H119" s="229"/>
      <c r="I119" s="229"/>
      <c r="J119" s="229"/>
      <c r="K119" s="229"/>
      <c r="L119" s="229"/>
      <c r="M119" s="229"/>
      <c r="N119" s="229"/>
      <c r="O119" s="229"/>
      <c r="P119" s="229"/>
    </row>
    <row r="120" ht="18" customHeight="1" spans="2:18">
      <c r="C120" s="176"/>
      <c r="D120" s="229"/>
      <c r="E120" s="229"/>
      <c r="F120" s="229"/>
      <c r="G120" s="229"/>
      <c r="H120" s="229"/>
      <c r="I120" s="229"/>
      <c r="J120" s="229"/>
      <c r="K120" s="229"/>
      <c r="L120" s="229"/>
      <c r="M120" s="229"/>
      <c r="N120" s="229"/>
      <c r="O120" s="229"/>
      <c r="P120" s="229"/>
    </row>
    <row r="121" ht="18" customHeight="1" spans="2:18">
      <c r="C121" s="176"/>
      <c r="D121" s="229"/>
      <c r="E121" s="229"/>
      <c r="F121" s="229"/>
      <c r="G121" s="229"/>
      <c r="H121" s="229"/>
      <c r="I121" s="229"/>
      <c r="J121" s="229"/>
      <c r="K121" s="229"/>
      <c r="L121" s="229"/>
      <c r="M121" s="229"/>
      <c r="N121" s="229"/>
      <c r="O121" s="229"/>
      <c r="P121" s="229"/>
    </row>
    <row r="122" ht="18" customHeight="1" spans="2:18">
      <c r="C122" s="176"/>
      <c r="D122" s="229"/>
      <c r="E122" s="229"/>
      <c r="F122" s="229"/>
      <c r="G122" s="229"/>
      <c r="H122" s="229"/>
      <c r="I122" s="229"/>
      <c r="J122" s="229"/>
      <c r="K122" s="229"/>
      <c r="L122" s="229"/>
      <c r="M122" s="229"/>
      <c r="N122" s="229"/>
      <c r="O122" s="229"/>
      <c r="P122" s="229"/>
    </row>
    <row r="123" ht="18" customHeight="1" spans="2:18">
      <c r="C123" s="176"/>
      <c r="D123" s="229"/>
      <c r="E123" s="229"/>
      <c r="F123" s="229"/>
      <c r="G123" s="229"/>
      <c r="H123" s="229"/>
      <c r="I123" s="229"/>
      <c r="J123" s="229"/>
      <c r="K123" s="229"/>
      <c r="L123" s="229"/>
      <c r="M123" s="229"/>
      <c r="N123" s="229"/>
      <c r="O123" s="229"/>
      <c r="P123" s="229"/>
    </row>
    <row r="124" ht="18" customHeight="1" spans="2:18">
      <c r="C124" s="176"/>
      <c r="D124" s="229"/>
      <c r="E124" s="229"/>
      <c r="F124" s="229"/>
      <c r="G124" s="229"/>
      <c r="H124" s="229"/>
      <c r="I124" s="229"/>
      <c r="J124" s="229"/>
      <c r="K124" s="229"/>
      <c r="L124" s="229"/>
      <c r="M124" s="229"/>
      <c r="N124" s="229"/>
      <c r="O124" s="229"/>
      <c r="P124" s="229"/>
    </row>
    <row r="125" ht="18" customHeight="1" spans="2:18">
      <c r="C125" s="176"/>
      <c r="D125" s="229"/>
      <c r="E125" s="229"/>
      <c r="F125" s="229"/>
      <c r="G125" s="229"/>
      <c r="H125" s="229"/>
      <c r="I125" s="229"/>
      <c r="J125" s="229"/>
      <c r="K125" s="229"/>
      <c r="L125" s="229"/>
      <c r="M125" s="229"/>
      <c r="N125" s="229"/>
      <c r="O125" s="229"/>
      <c r="P125" s="229"/>
    </row>
    <row r="126" ht="18" customHeight="1" spans="2:18">
      <c r="C126" s="176"/>
      <c r="D126" s="229"/>
      <c r="E126" s="229"/>
      <c r="F126" s="229"/>
      <c r="G126" s="229"/>
      <c r="H126" s="229"/>
      <c r="I126" s="229"/>
      <c r="J126" s="229"/>
      <c r="K126" s="229"/>
      <c r="L126" s="229"/>
      <c r="M126" s="229"/>
      <c r="N126" s="229"/>
      <c r="O126" s="229"/>
      <c r="P126" s="229"/>
    </row>
    <row r="127" ht="18" customHeight="1" spans="2:18">
      <c r="C127" s="176"/>
      <c r="D127" s="229"/>
      <c r="E127" s="229"/>
      <c r="F127" s="229"/>
      <c r="G127" s="229"/>
      <c r="H127" s="229"/>
      <c r="I127" s="229"/>
      <c r="J127" s="229"/>
      <c r="K127" s="229"/>
      <c r="L127" s="229"/>
      <c r="M127" s="229"/>
      <c r="N127" s="229"/>
      <c r="O127" s="229"/>
      <c r="P127" s="229"/>
    </row>
    <row r="128" ht="18" customHeight="1" spans="2:18">
      <c r="C128" s="176"/>
      <c r="D128" s="229"/>
      <c r="E128" s="229"/>
      <c r="F128" s="229"/>
      <c r="G128" s="229"/>
      <c r="H128" s="229"/>
      <c r="I128" s="229"/>
      <c r="J128" s="229"/>
      <c r="K128" s="229"/>
      <c r="L128" s="229"/>
      <c r="M128" s="229"/>
      <c r="N128" s="229"/>
      <c r="O128" s="229"/>
      <c r="P128" s="229"/>
    </row>
    <row r="129" ht="18" customHeight="1" spans="1:16">
      <c r="C129" s="176"/>
      <c r="D129" s="229"/>
      <c r="E129" s="229"/>
      <c r="F129" s="229"/>
      <c r="G129" s="229"/>
      <c r="H129" s="229"/>
      <c r="I129" s="229"/>
      <c r="J129" s="229"/>
      <c r="K129" s="229"/>
      <c r="L129" s="229"/>
      <c r="M129" s="229"/>
      <c r="N129" s="229"/>
      <c r="O129" s="229"/>
      <c r="P129" s="229"/>
    </row>
    <row r="130" ht="18" customHeight="1" spans="1:16">
      <c r="C130" s="176"/>
      <c r="D130" s="229"/>
      <c r="E130" s="229"/>
      <c r="F130" s="229"/>
      <c r="G130" s="229"/>
      <c r="H130" s="229"/>
      <c r="I130" s="229"/>
      <c r="J130" s="229"/>
      <c r="K130" s="229"/>
      <c r="L130" s="229"/>
      <c r="M130" s="229"/>
      <c r="N130" s="229"/>
      <c r="O130" s="229"/>
      <c r="P130" s="229"/>
    </row>
    <row r="131" ht="18" customHeight="1" spans="1:16">
      <c r="C131" s="176"/>
      <c r="D131" s="229"/>
      <c r="E131" s="229"/>
      <c r="F131" s="229"/>
      <c r="G131" s="229"/>
      <c r="H131" s="229"/>
      <c r="I131" s="229"/>
      <c r="J131" s="229"/>
      <c r="K131" s="229"/>
      <c r="L131" s="229"/>
      <c r="M131" s="229"/>
      <c r="N131" s="229"/>
      <c r="O131" s="229"/>
      <c r="P131" s="229"/>
    </row>
    <row r="133" ht="182" customHeight="1"/>
    <row r="134" ht="22.5" spans="1:16">
      <c r="A134" s="185" t="s">
        <v>49</v>
      </c>
      <c r="B134" s="185"/>
      <c r="C134" s="185"/>
      <c r="D134" s="185"/>
      <c r="E134" s="185"/>
    </row>
    <row r="135" spans="1:16">
      <c r="A135" s="189" t="s">
        <v>23</v>
      </c>
      <c r="B135" s="189" t="s">
        <v>42</v>
      </c>
      <c r="C135" s="189" t="s">
        <v>4</v>
      </c>
      <c r="D135" s="190" t="s">
        <v>5</v>
      </c>
      <c r="E135" s="190" t="s">
        <v>6</v>
      </c>
      <c r="F135" s="190" t="s">
        <v>7</v>
      </c>
      <c r="G135" s="190" t="s">
        <v>8</v>
      </c>
      <c r="H135" s="190" t="s">
        <v>9</v>
      </c>
      <c r="I135" s="190" t="s">
        <v>10</v>
      </c>
      <c r="J135" s="190" t="s">
        <v>11</v>
      </c>
      <c r="K135" s="190" t="s">
        <v>12</v>
      </c>
      <c r="L135" s="190" t="s">
        <v>13</v>
      </c>
      <c r="M135" s="190" t="s">
        <v>14</v>
      </c>
      <c r="N135" s="190" t="s">
        <v>15</v>
      </c>
      <c r="O135" s="190" t="s">
        <v>16</v>
      </c>
      <c r="P135" s="191" t="s">
        <v>17</v>
      </c>
    </row>
    <row r="136" ht="20" customHeight="1" spans="1:16">
      <c r="A136" s="232" t="s">
        <v>24</v>
      </c>
      <c r="B136" s="232" t="s">
        <v>43</v>
      </c>
      <c r="C136" s="233" t="s">
        <v>19</v>
      </c>
      <c r="D136" s="217">
        <v>0.416666666666667</v>
      </c>
      <c r="E136" s="217">
        <v>0.416666666666667</v>
      </c>
      <c r="F136" s="217">
        <v>0.416666666666667</v>
      </c>
      <c r="G136" s="217">
        <v>0.416666666666667</v>
      </c>
      <c r="H136" s="217">
        <v>0.416666666666667</v>
      </c>
      <c r="I136" s="217">
        <v>0.416666666666667</v>
      </c>
      <c r="J136" s="217">
        <v>0.416666666666667</v>
      </c>
      <c r="K136" s="217">
        <v>0.416666666666667</v>
      </c>
      <c r="L136" s="217">
        <v>0.416666666666667</v>
      </c>
      <c r="M136" s="217">
        <v>0.416666666666667</v>
      </c>
      <c r="N136" s="217">
        <v>0.416666666666667</v>
      </c>
      <c r="O136" s="217">
        <v>0.416666666666667</v>
      </c>
      <c r="P136" s="234">
        <v>5</v>
      </c>
    </row>
    <row r="137" ht="20" customHeight="1" spans="1:16">
      <c r="A137" s="235"/>
      <c r="B137" s="235"/>
      <c r="C137" s="233" t="s">
        <v>20</v>
      </c>
      <c r="D137" s="217">
        <v>0</v>
      </c>
      <c r="E137" s="217">
        <v>0</v>
      </c>
      <c r="F137" s="217">
        <v>1</v>
      </c>
      <c r="G137" s="217">
        <v>1</v>
      </c>
      <c r="H137" s="217">
        <v>0.5</v>
      </c>
      <c r="I137" s="217">
        <v>0.5</v>
      </c>
      <c r="J137" s="217"/>
      <c r="K137" s="217"/>
      <c r="L137" s="217"/>
      <c r="M137" s="217"/>
      <c r="N137" s="217"/>
      <c r="O137" s="217"/>
      <c r="P137" s="234">
        <f>SUM(D137:O137)</f>
        <v>3</v>
      </c>
    </row>
    <row r="138" ht="20" customHeight="1" spans="1:16">
      <c r="A138" s="235"/>
      <c r="B138" s="235"/>
      <c r="C138" s="236" t="s">
        <v>21</v>
      </c>
      <c r="D138" s="237">
        <f>D137/D136</f>
        <v>0</v>
      </c>
      <c r="E138" s="237">
        <f t="shared" ref="E138:P138" si="42">E137/E136</f>
        <v>0</v>
      </c>
      <c r="F138" s="237">
        <f t="shared" si="42"/>
        <v>2.4</v>
      </c>
      <c r="G138" s="237">
        <f t="shared" si="42"/>
        <v>2.4</v>
      </c>
      <c r="H138" s="237">
        <f t="shared" si="42"/>
        <v>1.2</v>
      </c>
      <c r="I138" s="237">
        <f t="shared" si="42"/>
        <v>1.2</v>
      </c>
      <c r="J138" s="237">
        <f t="shared" si="42"/>
        <v>0</v>
      </c>
      <c r="K138" s="237">
        <f t="shared" si="42"/>
        <v>0</v>
      </c>
      <c r="L138" s="237">
        <f t="shared" si="42"/>
        <v>0</v>
      </c>
      <c r="M138" s="237">
        <f t="shared" si="42"/>
        <v>0</v>
      </c>
      <c r="N138" s="237">
        <f t="shared" si="42"/>
        <v>0</v>
      </c>
      <c r="O138" s="237">
        <f t="shared" si="42"/>
        <v>0</v>
      </c>
      <c r="P138" s="238">
        <f t="shared" si="42"/>
        <v>0.6</v>
      </c>
    </row>
    <row r="139" ht="20" customHeight="1" spans="1:16">
      <c r="A139" s="235"/>
      <c r="B139" s="232" t="s">
        <v>44</v>
      </c>
      <c r="C139" s="233" t="s">
        <v>19</v>
      </c>
      <c r="D139" s="217">
        <f t="shared" ref="D139:O139" si="43">3/12</f>
        <v>0.25</v>
      </c>
      <c r="E139" s="217">
        <f t="shared" si="43"/>
        <v>0.25</v>
      </c>
      <c r="F139" s="217">
        <f t="shared" si="43"/>
        <v>0.25</v>
      </c>
      <c r="G139" s="217">
        <f t="shared" si="43"/>
        <v>0.25</v>
      </c>
      <c r="H139" s="217">
        <f t="shared" si="43"/>
        <v>0.25</v>
      </c>
      <c r="I139" s="217">
        <f t="shared" si="43"/>
        <v>0.25</v>
      </c>
      <c r="J139" s="217">
        <f t="shared" si="43"/>
        <v>0.25</v>
      </c>
      <c r="K139" s="217">
        <f t="shared" si="43"/>
        <v>0.25</v>
      </c>
      <c r="L139" s="217">
        <f t="shared" si="43"/>
        <v>0.25</v>
      </c>
      <c r="M139" s="217">
        <f t="shared" si="43"/>
        <v>0.25</v>
      </c>
      <c r="N139" s="217">
        <f t="shared" si="43"/>
        <v>0.25</v>
      </c>
      <c r="O139" s="217">
        <f t="shared" si="43"/>
        <v>0.25</v>
      </c>
      <c r="P139" s="234">
        <v>3</v>
      </c>
    </row>
    <row r="140" ht="20" customHeight="1" spans="1:16">
      <c r="A140" s="235"/>
      <c r="B140" s="235"/>
      <c r="C140" s="233" t="s">
        <v>20</v>
      </c>
      <c r="D140" s="217">
        <v>0</v>
      </c>
      <c r="E140" s="217">
        <v>0</v>
      </c>
      <c r="F140" s="217"/>
      <c r="G140" s="217"/>
      <c r="H140" s="217"/>
      <c r="I140" s="217"/>
      <c r="J140" s="217"/>
      <c r="K140" s="217"/>
      <c r="L140" s="217"/>
      <c r="M140" s="217"/>
      <c r="N140" s="217"/>
      <c r="O140" s="217"/>
      <c r="P140" s="234">
        <f>SUM(D140:O140)</f>
        <v>0</v>
      </c>
    </row>
    <row r="141" ht="20" customHeight="1" spans="1:16">
      <c r="A141" s="239"/>
      <c r="B141" s="235"/>
      <c r="C141" s="219" t="s">
        <v>21</v>
      </c>
      <c r="D141" s="220">
        <f>D140/D139</f>
        <v>0</v>
      </c>
      <c r="E141" s="220">
        <f t="shared" ref="E141:P141" si="44">E140/E139</f>
        <v>0</v>
      </c>
      <c r="F141" s="220">
        <f t="shared" si="44"/>
        <v>0</v>
      </c>
      <c r="G141" s="220">
        <f t="shared" si="44"/>
        <v>0</v>
      </c>
      <c r="H141" s="220">
        <f t="shared" si="44"/>
        <v>0</v>
      </c>
      <c r="I141" s="220">
        <f t="shared" si="44"/>
        <v>0</v>
      </c>
      <c r="J141" s="220">
        <f t="shared" si="44"/>
        <v>0</v>
      </c>
      <c r="K141" s="220">
        <f t="shared" si="44"/>
        <v>0</v>
      </c>
      <c r="L141" s="220">
        <f t="shared" si="44"/>
        <v>0</v>
      </c>
      <c r="M141" s="220">
        <f t="shared" si="44"/>
        <v>0</v>
      </c>
      <c r="N141" s="220">
        <f t="shared" si="44"/>
        <v>0</v>
      </c>
      <c r="O141" s="220">
        <f t="shared" si="44"/>
        <v>0</v>
      </c>
      <c r="P141" s="221">
        <f t="shared" si="44"/>
        <v>0</v>
      </c>
    </row>
    <row r="142" ht="20" customHeight="1" spans="1:16">
      <c r="A142" s="232" t="s">
        <v>25</v>
      </c>
      <c r="B142" s="216" t="s">
        <v>43</v>
      </c>
      <c r="C142" s="215" t="s">
        <v>19</v>
      </c>
      <c r="D142" s="217">
        <v>0.833333333333333</v>
      </c>
      <c r="E142" s="217">
        <v>0.833333333333333</v>
      </c>
      <c r="F142" s="217">
        <v>0.833333333333333</v>
      </c>
      <c r="G142" s="217">
        <v>0.833333333333333</v>
      </c>
      <c r="H142" s="217">
        <v>0.833333333333333</v>
      </c>
      <c r="I142" s="217">
        <v>0.833333333333333</v>
      </c>
      <c r="J142" s="217">
        <v>0.833333333333333</v>
      </c>
      <c r="K142" s="217">
        <v>0.833333333333333</v>
      </c>
      <c r="L142" s="217">
        <v>0.833333333333333</v>
      </c>
      <c r="M142" s="217">
        <v>0.833333333333333</v>
      </c>
      <c r="N142" s="217">
        <v>0.833333333333333</v>
      </c>
      <c r="O142" s="217">
        <v>0.833333333333333</v>
      </c>
      <c r="P142" s="234">
        <v>10</v>
      </c>
    </row>
    <row r="143" ht="20" customHeight="1" spans="1:16">
      <c r="A143" s="235"/>
      <c r="B143" s="216"/>
      <c r="C143" s="215" t="s">
        <v>20</v>
      </c>
      <c r="D143" s="217">
        <v>2</v>
      </c>
      <c r="E143" s="217">
        <v>1</v>
      </c>
      <c r="F143" s="217">
        <v>0.5</v>
      </c>
      <c r="G143" s="217">
        <v>0.5</v>
      </c>
      <c r="H143" s="217">
        <v>1</v>
      </c>
      <c r="I143" s="217">
        <v>1</v>
      </c>
      <c r="J143" s="217"/>
      <c r="K143" s="217"/>
      <c r="L143" s="217"/>
      <c r="M143" s="217"/>
      <c r="N143" s="217"/>
      <c r="O143" s="217"/>
      <c r="P143" s="234">
        <f>SUM(D143:O143)</f>
        <v>6</v>
      </c>
    </row>
    <row r="144" ht="20" customHeight="1" spans="1:16">
      <c r="A144" s="235"/>
      <c r="B144" s="216"/>
      <c r="C144" s="219" t="s">
        <v>21</v>
      </c>
      <c r="D144" s="237">
        <f t="shared" ref="D144:P144" si="45">D143/D142</f>
        <v>2.4</v>
      </c>
      <c r="E144" s="237">
        <f t="shared" si="45"/>
        <v>1.2</v>
      </c>
      <c r="F144" s="237">
        <f t="shared" si="45"/>
        <v>0.6</v>
      </c>
      <c r="G144" s="237">
        <f t="shared" si="45"/>
        <v>0.6</v>
      </c>
      <c r="H144" s="237">
        <f t="shared" si="45"/>
        <v>1.2</v>
      </c>
      <c r="I144" s="237">
        <f t="shared" si="45"/>
        <v>1.2</v>
      </c>
      <c r="J144" s="237">
        <f t="shared" si="45"/>
        <v>0</v>
      </c>
      <c r="K144" s="237">
        <f t="shared" si="45"/>
        <v>0</v>
      </c>
      <c r="L144" s="237">
        <f t="shared" si="45"/>
        <v>0</v>
      </c>
      <c r="M144" s="237">
        <f t="shared" si="45"/>
        <v>0</v>
      </c>
      <c r="N144" s="237">
        <f t="shared" si="45"/>
        <v>0</v>
      </c>
      <c r="O144" s="237">
        <f t="shared" si="45"/>
        <v>0</v>
      </c>
      <c r="P144" s="238">
        <f t="shared" si="45"/>
        <v>0.6</v>
      </c>
    </row>
    <row r="145" ht="20" customHeight="1" spans="1:16">
      <c r="A145" s="235"/>
      <c r="B145" s="235" t="s">
        <v>44</v>
      </c>
      <c r="C145" s="215" t="s">
        <v>19</v>
      </c>
      <c r="D145" s="217">
        <f t="shared" ref="D145:O145" si="46">3/12</f>
        <v>0.25</v>
      </c>
      <c r="E145" s="217">
        <f t="shared" si="46"/>
        <v>0.25</v>
      </c>
      <c r="F145" s="217">
        <f t="shared" si="46"/>
        <v>0.25</v>
      </c>
      <c r="G145" s="217">
        <f t="shared" si="46"/>
        <v>0.25</v>
      </c>
      <c r="H145" s="217">
        <f t="shared" si="46"/>
        <v>0.25</v>
      </c>
      <c r="I145" s="217">
        <f t="shared" si="46"/>
        <v>0.25</v>
      </c>
      <c r="J145" s="217">
        <f t="shared" si="46"/>
        <v>0.25</v>
      </c>
      <c r="K145" s="217">
        <f t="shared" si="46"/>
        <v>0.25</v>
      </c>
      <c r="L145" s="217">
        <f t="shared" si="46"/>
        <v>0.25</v>
      </c>
      <c r="M145" s="217">
        <f t="shared" si="46"/>
        <v>0.25</v>
      </c>
      <c r="N145" s="217">
        <f t="shared" si="46"/>
        <v>0.25</v>
      </c>
      <c r="O145" s="217">
        <f t="shared" si="46"/>
        <v>0.25</v>
      </c>
      <c r="P145" s="234">
        <v>3</v>
      </c>
    </row>
    <row r="146" ht="20" customHeight="1" spans="1:16">
      <c r="A146" s="235"/>
      <c r="B146" s="235"/>
      <c r="C146" s="215" t="s">
        <v>20</v>
      </c>
      <c r="D146" s="217">
        <v>0</v>
      </c>
      <c r="E146" s="217">
        <v>0</v>
      </c>
      <c r="F146" s="217"/>
      <c r="G146" s="217"/>
      <c r="H146" s="217"/>
      <c r="I146" s="217"/>
      <c r="J146" s="217"/>
      <c r="K146" s="217"/>
      <c r="L146" s="217"/>
      <c r="M146" s="217"/>
      <c r="N146" s="217"/>
      <c r="O146" s="217"/>
      <c r="P146" s="234">
        <f>SUM(D146:O146)</f>
        <v>0</v>
      </c>
    </row>
    <row r="147" ht="20" customHeight="1" spans="1:16">
      <c r="A147" s="239"/>
      <c r="B147" s="239"/>
      <c r="C147" s="219" t="s">
        <v>21</v>
      </c>
      <c r="D147" s="220">
        <f t="shared" ref="D147:P147" si="47">D146/D145</f>
        <v>0</v>
      </c>
      <c r="E147" s="220">
        <f t="shared" si="47"/>
        <v>0</v>
      </c>
      <c r="F147" s="220">
        <f t="shared" si="47"/>
        <v>0</v>
      </c>
      <c r="G147" s="220">
        <f t="shared" si="47"/>
        <v>0</v>
      </c>
      <c r="H147" s="220">
        <f t="shared" si="47"/>
        <v>0</v>
      </c>
      <c r="I147" s="220">
        <f t="shared" si="47"/>
        <v>0</v>
      </c>
      <c r="J147" s="220">
        <f t="shared" si="47"/>
        <v>0</v>
      </c>
      <c r="K147" s="220">
        <f t="shared" si="47"/>
        <v>0</v>
      </c>
      <c r="L147" s="220">
        <f t="shared" si="47"/>
        <v>0</v>
      </c>
      <c r="M147" s="220">
        <f t="shared" si="47"/>
        <v>0</v>
      </c>
      <c r="N147" s="220">
        <f t="shared" si="47"/>
        <v>0</v>
      </c>
      <c r="O147" s="220">
        <f t="shared" si="47"/>
        <v>0</v>
      </c>
      <c r="P147" s="221">
        <f t="shared" si="47"/>
        <v>0</v>
      </c>
    </row>
    <row r="148" ht="20" customHeight="1" spans="1:16">
      <c r="A148" s="232" t="s">
        <v>26</v>
      </c>
      <c r="B148" s="232" t="s">
        <v>43</v>
      </c>
      <c r="C148" s="215" t="s">
        <v>19</v>
      </c>
      <c r="D148" s="217">
        <v>0.5</v>
      </c>
      <c r="E148" s="217">
        <v>0.5</v>
      </c>
      <c r="F148" s="217">
        <v>0.5</v>
      </c>
      <c r="G148" s="217">
        <v>0.5</v>
      </c>
      <c r="H148" s="217">
        <v>0.5</v>
      </c>
      <c r="I148" s="217">
        <v>0.5</v>
      </c>
      <c r="J148" s="217">
        <v>0.5</v>
      </c>
      <c r="K148" s="217">
        <v>0.5</v>
      </c>
      <c r="L148" s="217">
        <v>0.5</v>
      </c>
      <c r="M148" s="217">
        <v>0.5</v>
      </c>
      <c r="N148" s="217">
        <v>0.5</v>
      </c>
      <c r="O148" s="217">
        <v>0.5</v>
      </c>
      <c r="P148" s="234">
        <v>6</v>
      </c>
    </row>
    <row r="149" ht="20" customHeight="1" spans="1:16">
      <c r="A149" s="235"/>
      <c r="B149" s="235"/>
      <c r="C149" s="215" t="s">
        <v>20</v>
      </c>
      <c r="D149" s="217">
        <v>1</v>
      </c>
      <c r="E149" s="217">
        <v>0.5</v>
      </c>
      <c r="F149" s="217">
        <v>0.5</v>
      </c>
      <c r="G149" s="217">
        <v>0</v>
      </c>
      <c r="H149" s="217">
        <v>0.5</v>
      </c>
      <c r="I149" s="217">
        <v>0.5</v>
      </c>
      <c r="J149" s="217"/>
      <c r="K149" s="217"/>
      <c r="L149" s="217"/>
      <c r="M149" s="217"/>
      <c r="N149" s="217"/>
      <c r="O149" s="217"/>
      <c r="P149" s="234">
        <f>SUM(D149:O149)</f>
        <v>3</v>
      </c>
    </row>
    <row r="150" ht="20" customHeight="1" spans="1:16">
      <c r="A150" s="235"/>
      <c r="B150" s="235"/>
      <c r="C150" s="219" t="s">
        <v>21</v>
      </c>
      <c r="D150" s="237">
        <f t="shared" ref="D150:P150" si="48">D149/D148</f>
        <v>2</v>
      </c>
      <c r="E150" s="237">
        <f t="shared" si="48"/>
        <v>1</v>
      </c>
      <c r="F150" s="237">
        <f t="shared" si="48"/>
        <v>1</v>
      </c>
      <c r="G150" s="237">
        <f t="shared" si="48"/>
        <v>0</v>
      </c>
      <c r="H150" s="237">
        <f t="shared" si="48"/>
        <v>1</v>
      </c>
      <c r="I150" s="237">
        <f t="shared" si="48"/>
        <v>1</v>
      </c>
      <c r="J150" s="237">
        <f t="shared" si="48"/>
        <v>0</v>
      </c>
      <c r="K150" s="237">
        <f t="shared" si="48"/>
        <v>0</v>
      </c>
      <c r="L150" s="237">
        <f t="shared" si="48"/>
        <v>0</v>
      </c>
      <c r="M150" s="237">
        <f t="shared" si="48"/>
        <v>0</v>
      </c>
      <c r="N150" s="237">
        <f t="shared" si="48"/>
        <v>0</v>
      </c>
      <c r="O150" s="237">
        <f t="shared" si="48"/>
        <v>0</v>
      </c>
      <c r="P150" s="238">
        <f t="shared" si="48"/>
        <v>0.5</v>
      </c>
    </row>
    <row r="151" ht="20" customHeight="1" spans="1:16">
      <c r="A151" s="235"/>
      <c r="B151" s="232" t="s">
        <v>44</v>
      </c>
      <c r="C151" s="215" t="s">
        <v>19</v>
      </c>
      <c r="D151" s="217">
        <f t="shared" ref="D151:O151" si="49">3/12</f>
        <v>0.25</v>
      </c>
      <c r="E151" s="217">
        <f t="shared" si="49"/>
        <v>0.25</v>
      </c>
      <c r="F151" s="217">
        <f t="shared" si="49"/>
        <v>0.25</v>
      </c>
      <c r="G151" s="217">
        <f t="shared" si="49"/>
        <v>0.25</v>
      </c>
      <c r="H151" s="217">
        <f t="shared" si="49"/>
        <v>0.25</v>
      </c>
      <c r="I151" s="217">
        <f t="shared" si="49"/>
        <v>0.25</v>
      </c>
      <c r="J151" s="217">
        <f t="shared" si="49"/>
        <v>0.25</v>
      </c>
      <c r="K151" s="217">
        <f t="shared" si="49"/>
        <v>0.25</v>
      </c>
      <c r="L151" s="217">
        <f t="shared" si="49"/>
        <v>0.25</v>
      </c>
      <c r="M151" s="217">
        <f t="shared" si="49"/>
        <v>0.25</v>
      </c>
      <c r="N151" s="217">
        <f t="shared" si="49"/>
        <v>0.25</v>
      </c>
      <c r="O151" s="217">
        <f t="shared" si="49"/>
        <v>0.25</v>
      </c>
      <c r="P151" s="234">
        <v>3</v>
      </c>
    </row>
    <row r="152" ht="20" customHeight="1" spans="1:16">
      <c r="A152" s="235"/>
      <c r="B152" s="235"/>
      <c r="C152" s="215" t="s">
        <v>20</v>
      </c>
      <c r="D152" s="217">
        <v>0</v>
      </c>
      <c r="E152" s="217">
        <v>0</v>
      </c>
      <c r="F152" s="217"/>
      <c r="G152" s="217"/>
      <c r="H152" s="217"/>
      <c r="I152" s="217"/>
      <c r="J152" s="217"/>
      <c r="K152" s="217"/>
      <c r="L152" s="217"/>
      <c r="M152" s="217"/>
      <c r="N152" s="217"/>
      <c r="O152" s="217"/>
      <c r="P152" s="234">
        <f>SUM(D152:O152)</f>
        <v>0</v>
      </c>
    </row>
    <row r="153" ht="20" customHeight="1" spans="1:16">
      <c r="A153" s="239"/>
      <c r="B153" s="235"/>
      <c r="C153" s="219" t="s">
        <v>21</v>
      </c>
      <c r="D153" s="220">
        <f t="shared" ref="D153:P153" si="50">D152/D151</f>
        <v>0</v>
      </c>
      <c r="E153" s="220">
        <f t="shared" si="50"/>
        <v>0</v>
      </c>
      <c r="F153" s="220">
        <f t="shared" si="50"/>
        <v>0</v>
      </c>
      <c r="G153" s="220">
        <f t="shared" si="50"/>
        <v>0</v>
      </c>
      <c r="H153" s="220">
        <f t="shared" si="50"/>
        <v>0</v>
      </c>
      <c r="I153" s="220">
        <f t="shared" si="50"/>
        <v>0</v>
      </c>
      <c r="J153" s="220">
        <f t="shared" si="50"/>
        <v>0</v>
      </c>
      <c r="K153" s="220">
        <f t="shared" si="50"/>
        <v>0</v>
      </c>
      <c r="L153" s="220">
        <f t="shared" si="50"/>
        <v>0</v>
      </c>
      <c r="M153" s="220">
        <f t="shared" si="50"/>
        <v>0</v>
      </c>
      <c r="N153" s="220">
        <f t="shared" si="50"/>
        <v>0</v>
      </c>
      <c r="O153" s="220">
        <f t="shared" si="50"/>
        <v>0</v>
      </c>
      <c r="P153" s="221">
        <f t="shared" si="50"/>
        <v>0</v>
      </c>
    </row>
    <row r="154" ht="20" customHeight="1" spans="1:16">
      <c r="A154" s="232" t="s">
        <v>27</v>
      </c>
      <c r="B154" s="232" t="s">
        <v>43</v>
      </c>
      <c r="C154" s="215" t="s">
        <v>19</v>
      </c>
      <c r="D154" s="217">
        <v>0.333333333333333</v>
      </c>
      <c r="E154" s="217">
        <v>0.333333333333333</v>
      </c>
      <c r="F154" s="217">
        <v>0.333333333333333</v>
      </c>
      <c r="G154" s="217">
        <v>0.333333333333333</v>
      </c>
      <c r="H154" s="217">
        <v>0.333333333333333</v>
      </c>
      <c r="I154" s="217">
        <v>0.333333333333333</v>
      </c>
      <c r="J154" s="217">
        <v>0.333333333333333</v>
      </c>
      <c r="K154" s="217">
        <v>0.333333333333333</v>
      </c>
      <c r="L154" s="217">
        <v>0.333333333333333</v>
      </c>
      <c r="M154" s="217">
        <v>0.333333333333333</v>
      </c>
      <c r="N154" s="217">
        <v>0.333333333333333</v>
      </c>
      <c r="O154" s="217">
        <v>0.333333333333333</v>
      </c>
      <c r="P154" s="234">
        <v>4</v>
      </c>
    </row>
    <row r="155" ht="20" customHeight="1" spans="1:16">
      <c r="A155" s="235"/>
      <c r="B155" s="235"/>
      <c r="C155" s="215" t="s">
        <v>20</v>
      </c>
      <c r="D155" s="217"/>
      <c r="E155" s="217"/>
      <c r="F155" s="217"/>
      <c r="G155" s="217"/>
      <c r="H155" s="217">
        <v>0</v>
      </c>
      <c r="I155" s="217"/>
      <c r="J155" s="217"/>
      <c r="K155" s="217"/>
      <c r="L155" s="217"/>
      <c r="M155" s="217"/>
      <c r="N155" s="217"/>
      <c r="O155" s="217"/>
      <c r="P155" s="234">
        <f>SUM(D155:O155)</f>
        <v>0</v>
      </c>
    </row>
    <row r="156" ht="20" customHeight="1" spans="1:16">
      <c r="A156" s="235"/>
      <c r="B156" s="235"/>
      <c r="C156" s="219" t="s">
        <v>21</v>
      </c>
      <c r="D156" s="237">
        <f t="shared" ref="D156:P156" si="51">D155/D154</f>
        <v>0</v>
      </c>
      <c r="E156" s="237">
        <f t="shared" si="51"/>
        <v>0</v>
      </c>
      <c r="F156" s="237">
        <f t="shared" si="51"/>
        <v>0</v>
      </c>
      <c r="G156" s="237">
        <f t="shared" si="51"/>
        <v>0</v>
      </c>
      <c r="H156" s="237">
        <f t="shared" si="51"/>
        <v>0</v>
      </c>
      <c r="I156" s="237">
        <f t="shared" si="51"/>
        <v>0</v>
      </c>
      <c r="J156" s="237">
        <f t="shared" si="51"/>
        <v>0</v>
      </c>
      <c r="K156" s="237">
        <f t="shared" si="51"/>
        <v>0</v>
      </c>
      <c r="L156" s="237">
        <f t="shared" si="51"/>
        <v>0</v>
      </c>
      <c r="M156" s="237">
        <f t="shared" si="51"/>
        <v>0</v>
      </c>
      <c r="N156" s="237">
        <f t="shared" si="51"/>
        <v>0</v>
      </c>
      <c r="O156" s="237">
        <f t="shared" si="51"/>
        <v>0</v>
      </c>
      <c r="P156" s="238">
        <f t="shared" si="51"/>
        <v>0</v>
      </c>
    </row>
    <row r="157" ht="20" customHeight="1" spans="1:16">
      <c r="A157" s="235"/>
      <c r="B157" s="232" t="s">
        <v>44</v>
      </c>
      <c r="C157" s="215" t="s">
        <v>19</v>
      </c>
      <c r="D157" s="217">
        <v>0.166666</v>
      </c>
      <c r="E157" s="217">
        <v>0.166666</v>
      </c>
      <c r="F157" s="217">
        <v>0.166666</v>
      </c>
      <c r="G157" s="217">
        <v>0.166666</v>
      </c>
      <c r="H157" s="217">
        <v>0.166666</v>
      </c>
      <c r="I157" s="217">
        <v>0.166666</v>
      </c>
      <c r="J157" s="217">
        <v>0.166666</v>
      </c>
      <c r="K157" s="217">
        <v>0.166666</v>
      </c>
      <c r="L157" s="217">
        <v>0.166666</v>
      </c>
      <c r="M157" s="217">
        <v>0.166666</v>
      </c>
      <c r="N157" s="217">
        <v>0.166666</v>
      </c>
      <c r="O157" s="217">
        <v>0.166666</v>
      </c>
      <c r="P157" s="234">
        <v>2</v>
      </c>
    </row>
    <row r="158" ht="20" customHeight="1" spans="1:16">
      <c r="A158" s="235"/>
      <c r="B158" s="235"/>
      <c r="C158" s="215" t="s">
        <v>20</v>
      </c>
      <c r="D158" s="217">
        <v>0</v>
      </c>
      <c r="E158" s="217">
        <v>0</v>
      </c>
      <c r="F158" s="217"/>
      <c r="G158" s="217"/>
      <c r="H158" s="217"/>
      <c r="I158" s="217"/>
      <c r="J158" s="217"/>
      <c r="K158" s="217"/>
      <c r="L158" s="217"/>
      <c r="M158" s="217"/>
      <c r="N158" s="217"/>
      <c r="O158" s="217"/>
      <c r="P158" s="234">
        <f>SUM(D158:O158)</f>
        <v>0</v>
      </c>
    </row>
    <row r="159" ht="20" customHeight="1" spans="1:16">
      <c r="A159" s="239"/>
      <c r="B159" s="235"/>
      <c r="C159" s="219" t="s">
        <v>21</v>
      </c>
      <c r="D159" s="220">
        <f t="shared" ref="D159:P159" si="52">D158/D157</f>
        <v>0</v>
      </c>
      <c r="E159" s="220">
        <f t="shared" si="52"/>
        <v>0</v>
      </c>
      <c r="F159" s="220">
        <f t="shared" si="52"/>
        <v>0</v>
      </c>
      <c r="G159" s="220">
        <f t="shared" si="52"/>
        <v>0</v>
      </c>
      <c r="H159" s="220">
        <f t="shared" si="52"/>
        <v>0</v>
      </c>
      <c r="I159" s="220">
        <f t="shared" si="52"/>
        <v>0</v>
      </c>
      <c r="J159" s="220">
        <f t="shared" si="52"/>
        <v>0</v>
      </c>
      <c r="K159" s="220">
        <f t="shared" si="52"/>
        <v>0</v>
      </c>
      <c r="L159" s="220">
        <f t="shared" si="52"/>
        <v>0</v>
      </c>
      <c r="M159" s="220">
        <f t="shared" si="52"/>
        <v>0</v>
      </c>
      <c r="N159" s="220">
        <f t="shared" si="52"/>
        <v>0</v>
      </c>
      <c r="O159" s="220">
        <f t="shared" si="52"/>
        <v>0</v>
      </c>
      <c r="P159" s="221">
        <f t="shared" si="52"/>
        <v>0</v>
      </c>
    </row>
    <row r="160" ht="20" customHeight="1" spans="1:16">
      <c r="A160" s="232" t="s">
        <v>28</v>
      </c>
      <c r="B160" s="232" t="s">
        <v>43</v>
      </c>
      <c r="C160" s="215" t="s">
        <v>19</v>
      </c>
      <c r="D160" s="217">
        <v>0.333333333333333</v>
      </c>
      <c r="E160" s="217">
        <v>0.333333333333333</v>
      </c>
      <c r="F160" s="217">
        <v>0.333333333333333</v>
      </c>
      <c r="G160" s="217">
        <v>0.333333333333333</v>
      </c>
      <c r="H160" s="217">
        <v>0.333333333333333</v>
      </c>
      <c r="I160" s="217">
        <v>0.333333333333333</v>
      </c>
      <c r="J160" s="217">
        <v>0.333333333333333</v>
      </c>
      <c r="K160" s="217">
        <v>0.333333333333333</v>
      </c>
      <c r="L160" s="217">
        <v>0.333333333333333</v>
      </c>
      <c r="M160" s="217">
        <v>0.333333333333333</v>
      </c>
      <c r="N160" s="217">
        <v>0.333333333333333</v>
      </c>
      <c r="O160" s="217">
        <v>0.333333333333333</v>
      </c>
      <c r="P160" s="234">
        <v>4</v>
      </c>
    </row>
    <row r="161" ht="20" customHeight="1" spans="1:16">
      <c r="A161" s="235"/>
      <c r="B161" s="235"/>
      <c r="C161" s="215" t="s">
        <v>20</v>
      </c>
      <c r="D161" s="217"/>
      <c r="E161" s="217"/>
      <c r="F161" s="217"/>
      <c r="G161" s="217">
        <v>0.5</v>
      </c>
      <c r="H161" s="217">
        <v>0.5</v>
      </c>
      <c r="I161" s="217">
        <v>0</v>
      </c>
      <c r="J161" s="217"/>
      <c r="K161" s="217"/>
      <c r="L161" s="217"/>
      <c r="M161" s="217"/>
      <c r="N161" s="217"/>
      <c r="O161" s="217"/>
      <c r="P161" s="234">
        <f>SUM(D161:O161)</f>
        <v>1</v>
      </c>
    </row>
    <row r="162" ht="20" customHeight="1" spans="1:16">
      <c r="A162" s="235"/>
      <c r="B162" s="235"/>
      <c r="C162" s="219" t="s">
        <v>21</v>
      </c>
      <c r="D162" s="237">
        <f t="shared" ref="D162:P162" si="53">D161/D160</f>
        <v>0</v>
      </c>
      <c r="E162" s="237">
        <f t="shared" si="53"/>
        <v>0</v>
      </c>
      <c r="F162" s="237">
        <f t="shared" si="53"/>
        <v>0</v>
      </c>
      <c r="G162" s="237">
        <f t="shared" si="53"/>
        <v>1.5</v>
      </c>
      <c r="H162" s="237">
        <f t="shared" si="53"/>
        <v>1.5</v>
      </c>
      <c r="I162" s="237">
        <f t="shared" si="53"/>
        <v>0</v>
      </c>
      <c r="J162" s="237">
        <f t="shared" si="53"/>
        <v>0</v>
      </c>
      <c r="K162" s="237">
        <f t="shared" si="53"/>
        <v>0</v>
      </c>
      <c r="L162" s="237">
        <f t="shared" si="53"/>
        <v>0</v>
      </c>
      <c r="M162" s="237">
        <f t="shared" si="53"/>
        <v>0</v>
      </c>
      <c r="N162" s="237">
        <f t="shared" si="53"/>
        <v>0</v>
      </c>
      <c r="O162" s="237">
        <f t="shared" si="53"/>
        <v>0</v>
      </c>
      <c r="P162" s="238">
        <f t="shared" si="53"/>
        <v>0.25</v>
      </c>
    </row>
    <row r="163" ht="20" customHeight="1" spans="1:16">
      <c r="A163" s="235"/>
      <c r="B163" s="232" t="s">
        <v>44</v>
      </c>
      <c r="C163" s="215" t="s">
        <v>19</v>
      </c>
      <c r="D163" s="217">
        <v>0.166666</v>
      </c>
      <c r="E163" s="217">
        <v>0.166666</v>
      </c>
      <c r="F163" s="217">
        <v>0.166666</v>
      </c>
      <c r="G163" s="217">
        <v>0.166666</v>
      </c>
      <c r="H163" s="217">
        <v>0.166666</v>
      </c>
      <c r="I163" s="217">
        <v>0.166666</v>
      </c>
      <c r="J163" s="217">
        <v>0.166666</v>
      </c>
      <c r="K163" s="217">
        <v>0.166666</v>
      </c>
      <c r="L163" s="217">
        <v>0.166666</v>
      </c>
      <c r="M163" s="217">
        <v>0.166666</v>
      </c>
      <c r="N163" s="217">
        <v>0.166666</v>
      </c>
      <c r="O163" s="217">
        <v>0.166666</v>
      </c>
      <c r="P163" s="234">
        <v>2</v>
      </c>
    </row>
    <row r="164" ht="20" customHeight="1" spans="1:16">
      <c r="A164" s="235"/>
      <c r="B164" s="235"/>
      <c r="C164" s="215" t="s">
        <v>20</v>
      </c>
      <c r="D164" s="217">
        <v>0</v>
      </c>
      <c r="E164" s="217">
        <v>0</v>
      </c>
      <c r="F164" s="217"/>
      <c r="G164" s="217"/>
      <c r="H164" s="217"/>
      <c r="I164" s="217"/>
      <c r="J164" s="217"/>
      <c r="K164" s="217"/>
      <c r="L164" s="217"/>
      <c r="M164" s="217"/>
      <c r="N164" s="217"/>
      <c r="O164" s="217"/>
      <c r="P164" s="234">
        <f>SUM(D164:O164)</f>
        <v>0</v>
      </c>
    </row>
    <row r="165" ht="20" customHeight="1" spans="1:16">
      <c r="A165" s="239"/>
      <c r="B165" s="235"/>
      <c r="C165" s="219" t="s">
        <v>21</v>
      </c>
      <c r="D165" s="220">
        <f t="shared" ref="D165:P165" si="54">D164/D163</f>
        <v>0</v>
      </c>
      <c r="E165" s="220">
        <f t="shared" si="54"/>
        <v>0</v>
      </c>
      <c r="F165" s="220">
        <f t="shared" si="54"/>
        <v>0</v>
      </c>
      <c r="G165" s="220">
        <f t="shared" si="54"/>
        <v>0</v>
      </c>
      <c r="H165" s="220">
        <f t="shared" si="54"/>
        <v>0</v>
      </c>
      <c r="I165" s="220">
        <f t="shared" si="54"/>
        <v>0</v>
      </c>
      <c r="J165" s="220">
        <f t="shared" si="54"/>
        <v>0</v>
      </c>
      <c r="K165" s="220">
        <f t="shared" si="54"/>
        <v>0</v>
      </c>
      <c r="L165" s="220">
        <f t="shared" si="54"/>
        <v>0</v>
      </c>
      <c r="M165" s="220">
        <f t="shared" si="54"/>
        <v>0</v>
      </c>
      <c r="N165" s="220">
        <f t="shared" si="54"/>
        <v>0</v>
      </c>
      <c r="O165" s="220">
        <f t="shared" si="54"/>
        <v>0</v>
      </c>
      <c r="P165" s="221">
        <f t="shared" si="54"/>
        <v>0</v>
      </c>
    </row>
    <row r="166" ht="20" customHeight="1" spans="1:16">
      <c r="A166" s="232" t="s">
        <v>29</v>
      </c>
      <c r="B166" s="232" t="s">
        <v>43</v>
      </c>
      <c r="C166" s="215" t="s">
        <v>19</v>
      </c>
      <c r="D166" s="217">
        <v>0.333333333333333</v>
      </c>
      <c r="E166" s="217">
        <v>0.333333333333333</v>
      </c>
      <c r="F166" s="217">
        <v>0.333333333333333</v>
      </c>
      <c r="G166" s="217">
        <v>0.333333333333333</v>
      </c>
      <c r="H166" s="217">
        <v>0.333333333333333</v>
      </c>
      <c r="I166" s="217">
        <v>0.333333333333333</v>
      </c>
      <c r="J166" s="217">
        <v>0.333333333333333</v>
      </c>
      <c r="K166" s="217">
        <v>0.333333333333333</v>
      </c>
      <c r="L166" s="217">
        <v>0.333333333333333</v>
      </c>
      <c r="M166" s="217">
        <v>0.333333333333333</v>
      </c>
      <c r="N166" s="217">
        <v>0.333333333333333</v>
      </c>
      <c r="O166" s="217">
        <v>0.333333333333333</v>
      </c>
      <c r="P166" s="234">
        <v>4</v>
      </c>
    </row>
    <row r="167" ht="20" customHeight="1" spans="1:16">
      <c r="A167" s="235"/>
      <c r="B167" s="235"/>
      <c r="C167" s="233" t="s">
        <v>20</v>
      </c>
      <c r="D167" s="217">
        <v>1</v>
      </c>
      <c r="E167" s="217">
        <v>0</v>
      </c>
      <c r="F167" s="217">
        <v>0</v>
      </c>
      <c r="G167" s="217">
        <v>0.5</v>
      </c>
      <c r="H167" s="217">
        <v>0.5</v>
      </c>
      <c r="I167" s="217">
        <v>0</v>
      </c>
      <c r="J167" s="217"/>
      <c r="K167" s="217"/>
      <c r="L167" s="217"/>
      <c r="M167" s="217"/>
      <c r="N167" s="217"/>
      <c r="O167" s="217"/>
      <c r="P167" s="234">
        <f>SUM(D167:O167)</f>
        <v>2</v>
      </c>
    </row>
    <row r="168" ht="20" customHeight="1" spans="1:16">
      <c r="A168" s="235"/>
      <c r="B168" s="235"/>
      <c r="C168" s="236" t="s">
        <v>21</v>
      </c>
      <c r="D168" s="237">
        <f t="shared" ref="D168:P168" si="55">D167/D166</f>
        <v>3</v>
      </c>
      <c r="E168" s="237">
        <f t="shared" si="55"/>
        <v>0</v>
      </c>
      <c r="F168" s="237">
        <f t="shared" si="55"/>
        <v>0</v>
      </c>
      <c r="G168" s="237">
        <f t="shared" si="55"/>
        <v>1.5</v>
      </c>
      <c r="H168" s="237">
        <f t="shared" si="55"/>
        <v>1.5</v>
      </c>
      <c r="I168" s="237">
        <f t="shared" si="55"/>
        <v>0</v>
      </c>
      <c r="J168" s="237">
        <f t="shared" si="55"/>
        <v>0</v>
      </c>
      <c r="K168" s="237">
        <f t="shared" si="55"/>
        <v>0</v>
      </c>
      <c r="L168" s="237">
        <f t="shared" si="55"/>
        <v>0</v>
      </c>
      <c r="M168" s="237">
        <f t="shared" si="55"/>
        <v>0</v>
      </c>
      <c r="N168" s="237">
        <f t="shared" si="55"/>
        <v>0</v>
      </c>
      <c r="O168" s="237">
        <f t="shared" si="55"/>
        <v>0</v>
      </c>
      <c r="P168" s="238">
        <f t="shared" si="55"/>
        <v>0.5</v>
      </c>
    </row>
    <row r="169" ht="20" customHeight="1" spans="1:16">
      <c r="A169" s="235"/>
      <c r="B169" s="232" t="s">
        <v>44</v>
      </c>
      <c r="C169" s="233" t="s">
        <v>19</v>
      </c>
      <c r="D169" s="217">
        <f t="shared" ref="D169:O169" si="56">3/12</f>
        <v>0.25</v>
      </c>
      <c r="E169" s="217">
        <f t="shared" si="56"/>
        <v>0.25</v>
      </c>
      <c r="F169" s="217">
        <f t="shared" si="56"/>
        <v>0.25</v>
      </c>
      <c r="G169" s="217">
        <f t="shared" si="56"/>
        <v>0.25</v>
      </c>
      <c r="H169" s="217">
        <f t="shared" si="56"/>
        <v>0.25</v>
      </c>
      <c r="I169" s="217">
        <f t="shared" si="56"/>
        <v>0.25</v>
      </c>
      <c r="J169" s="217">
        <f t="shared" si="56"/>
        <v>0.25</v>
      </c>
      <c r="K169" s="217">
        <f t="shared" si="56"/>
        <v>0.25</v>
      </c>
      <c r="L169" s="217">
        <f t="shared" si="56"/>
        <v>0.25</v>
      </c>
      <c r="M169" s="217">
        <f t="shared" si="56"/>
        <v>0.25</v>
      </c>
      <c r="N169" s="217">
        <f t="shared" si="56"/>
        <v>0.25</v>
      </c>
      <c r="O169" s="217">
        <f t="shared" si="56"/>
        <v>0.25</v>
      </c>
      <c r="P169" s="234">
        <v>3</v>
      </c>
    </row>
    <row r="170" ht="20" customHeight="1" spans="1:16">
      <c r="A170" s="235"/>
      <c r="B170" s="235"/>
      <c r="C170" s="233" t="s">
        <v>20</v>
      </c>
      <c r="D170" s="217">
        <v>0</v>
      </c>
      <c r="E170" s="217">
        <v>0</v>
      </c>
      <c r="F170" s="217"/>
      <c r="G170" s="217"/>
      <c r="H170" s="217"/>
      <c r="I170" s="217"/>
      <c r="J170" s="217"/>
      <c r="K170" s="217"/>
      <c r="L170" s="217"/>
      <c r="M170" s="217"/>
      <c r="N170" s="217"/>
      <c r="O170" s="217"/>
      <c r="P170" s="234">
        <f>SUM(D170:O170)</f>
        <v>0</v>
      </c>
    </row>
    <row r="171" ht="20" customHeight="1" spans="1:16">
      <c r="A171" s="239"/>
      <c r="B171" s="235"/>
      <c r="C171" s="236" t="s">
        <v>21</v>
      </c>
      <c r="D171" s="220">
        <f t="shared" ref="D171:P171" si="57">D170/D169</f>
        <v>0</v>
      </c>
      <c r="E171" s="220">
        <f t="shared" si="57"/>
        <v>0</v>
      </c>
      <c r="F171" s="220">
        <f t="shared" si="57"/>
        <v>0</v>
      </c>
      <c r="G171" s="220">
        <f t="shared" si="57"/>
        <v>0</v>
      </c>
      <c r="H171" s="220">
        <f t="shared" si="57"/>
        <v>0</v>
      </c>
      <c r="I171" s="220">
        <f t="shared" si="57"/>
        <v>0</v>
      </c>
      <c r="J171" s="220">
        <f t="shared" si="57"/>
        <v>0</v>
      </c>
      <c r="K171" s="220">
        <f t="shared" si="57"/>
        <v>0</v>
      </c>
      <c r="L171" s="220">
        <f t="shared" si="57"/>
        <v>0</v>
      </c>
      <c r="M171" s="220">
        <f t="shared" si="57"/>
        <v>0</v>
      </c>
      <c r="N171" s="220">
        <f t="shared" si="57"/>
        <v>0</v>
      </c>
      <c r="O171" s="220">
        <f t="shared" si="57"/>
        <v>0</v>
      </c>
      <c r="P171" s="221">
        <f t="shared" si="57"/>
        <v>0</v>
      </c>
    </row>
    <row r="172" ht="20" customHeight="1" spans="1:16">
      <c r="A172" s="232" t="s">
        <v>30</v>
      </c>
      <c r="B172" s="232" t="s">
        <v>43</v>
      </c>
      <c r="C172" s="233" t="s">
        <v>19</v>
      </c>
      <c r="D172" s="217">
        <v>1.08333333333333</v>
      </c>
      <c r="E172" s="217">
        <v>1.08333333333333</v>
      </c>
      <c r="F172" s="217">
        <v>1.08333333333333</v>
      </c>
      <c r="G172" s="217">
        <v>1.08333333333333</v>
      </c>
      <c r="H172" s="217">
        <v>1.08333333333333</v>
      </c>
      <c r="I172" s="217">
        <v>1.08333333333333</v>
      </c>
      <c r="J172" s="217">
        <v>1.08333333333333</v>
      </c>
      <c r="K172" s="217">
        <v>1.08333333333333</v>
      </c>
      <c r="L172" s="217">
        <v>1.08333333333333</v>
      </c>
      <c r="M172" s="217">
        <v>1.08333333333333</v>
      </c>
      <c r="N172" s="217">
        <v>1.08333333333333</v>
      </c>
      <c r="O172" s="217">
        <v>1.08333333333333</v>
      </c>
      <c r="P172" s="234">
        <v>13</v>
      </c>
    </row>
    <row r="173" ht="20" customHeight="1" spans="1:16">
      <c r="A173" s="235"/>
      <c r="B173" s="235"/>
      <c r="C173" s="233" t="s">
        <v>20</v>
      </c>
      <c r="D173" s="217">
        <v>1.5</v>
      </c>
      <c r="E173" s="217">
        <v>1</v>
      </c>
      <c r="F173" s="217">
        <v>1</v>
      </c>
      <c r="G173" s="217">
        <v>0</v>
      </c>
      <c r="H173" s="217">
        <v>0</v>
      </c>
      <c r="I173" s="217">
        <v>1</v>
      </c>
      <c r="J173" s="217"/>
      <c r="K173" s="217"/>
      <c r="L173" s="217"/>
      <c r="M173" s="217"/>
      <c r="N173" s="217"/>
      <c r="O173" s="217"/>
      <c r="P173" s="234">
        <f>SUM(D173:O173)</f>
        <v>4.5</v>
      </c>
    </row>
    <row r="174" ht="20" customHeight="1" spans="1:16">
      <c r="A174" s="235"/>
      <c r="B174" s="235"/>
      <c r="C174" s="236" t="s">
        <v>21</v>
      </c>
      <c r="D174" s="237">
        <f t="shared" ref="D174:P174" si="58">D173/D172</f>
        <v>1.38461538461539</v>
      </c>
      <c r="E174" s="237">
        <f t="shared" si="58"/>
        <v>0.923076923076926</v>
      </c>
      <c r="F174" s="237">
        <f t="shared" si="58"/>
        <v>0.923076923076926</v>
      </c>
      <c r="G174" s="237">
        <f t="shared" si="58"/>
        <v>0</v>
      </c>
      <c r="H174" s="237">
        <f t="shared" si="58"/>
        <v>0</v>
      </c>
      <c r="I174" s="237">
        <f t="shared" si="58"/>
        <v>0.923076923076926</v>
      </c>
      <c r="J174" s="237">
        <f t="shared" si="58"/>
        <v>0</v>
      </c>
      <c r="K174" s="237">
        <f t="shared" si="58"/>
        <v>0</v>
      </c>
      <c r="L174" s="237">
        <f t="shared" si="58"/>
        <v>0</v>
      </c>
      <c r="M174" s="237">
        <f t="shared" si="58"/>
        <v>0</v>
      </c>
      <c r="N174" s="237">
        <f t="shared" si="58"/>
        <v>0</v>
      </c>
      <c r="O174" s="237">
        <f t="shared" si="58"/>
        <v>0</v>
      </c>
      <c r="P174" s="238">
        <f t="shared" si="58"/>
        <v>0.346153846153846</v>
      </c>
    </row>
    <row r="175" ht="20" customHeight="1" spans="1:16">
      <c r="A175" s="235"/>
      <c r="B175" s="232" t="s">
        <v>44</v>
      </c>
      <c r="C175" s="233" t="s">
        <v>19</v>
      </c>
      <c r="D175" s="217">
        <f t="shared" ref="D175:O175" si="59">3/12</f>
        <v>0.25</v>
      </c>
      <c r="E175" s="217">
        <f t="shared" si="59"/>
        <v>0.25</v>
      </c>
      <c r="F175" s="217">
        <f t="shared" si="59"/>
        <v>0.25</v>
      </c>
      <c r="G175" s="217">
        <f t="shared" si="59"/>
        <v>0.25</v>
      </c>
      <c r="H175" s="217">
        <f t="shared" si="59"/>
        <v>0.25</v>
      </c>
      <c r="I175" s="217">
        <f t="shared" si="59"/>
        <v>0.25</v>
      </c>
      <c r="J175" s="217">
        <f t="shared" si="59"/>
        <v>0.25</v>
      </c>
      <c r="K175" s="217">
        <f t="shared" si="59"/>
        <v>0.25</v>
      </c>
      <c r="L175" s="217">
        <f t="shared" si="59"/>
        <v>0.25</v>
      </c>
      <c r="M175" s="217">
        <f t="shared" si="59"/>
        <v>0.25</v>
      </c>
      <c r="N175" s="217">
        <f t="shared" si="59"/>
        <v>0.25</v>
      </c>
      <c r="O175" s="217">
        <f t="shared" si="59"/>
        <v>0.25</v>
      </c>
      <c r="P175" s="234">
        <v>3</v>
      </c>
    </row>
    <row r="176" ht="20" customHeight="1" spans="1:16">
      <c r="A176" s="235"/>
      <c r="B176" s="235"/>
      <c r="C176" s="233" t="s">
        <v>20</v>
      </c>
      <c r="D176" s="217">
        <v>0</v>
      </c>
      <c r="E176" s="217">
        <v>0</v>
      </c>
      <c r="F176" s="217"/>
      <c r="G176" s="217"/>
      <c r="H176" s="217"/>
      <c r="I176" s="217"/>
      <c r="J176" s="217"/>
      <c r="K176" s="217"/>
      <c r="L176" s="217"/>
      <c r="M176" s="217"/>
      <c r="N176" s="217"/>
      <c r="O176" s="217"/>
      <c r="P176" s="234">
        <f>SUM(D176:O176)</f>
        <v>0</v>
      </c>
    </row>
    <row r="177" ht="20" customHeight="1" spans="1:16">
      <c r="A177" s="239"/>
      <c r="B177" s="235"/>
      <c r="C177" s="236" t="s">
        <v>21</v>
      </c>
      <c r="D177" s="220">
        <f t="shared" ref="D177:P177" si="60">D176/D175</f>
        <v>0</v>
      </c>
      <c r="E177" s="220">
        <f t="shared" si="60"/>
        <v>0</v>
      </c>
      <c r="F177" s="220">
        <f t="shared" si="60"/>
        <v>0</v>
      </c>
      <c r="G177" s="220">
        <f t="shared" si="60"/>
        <v>0</v>
      </c>
      <c r="H177" s="220">
        <f t="shared" si="60"/>
        <v>0</v>
      </c>
      <c r="I177" s="220">
        <f t="shared" si="60"/>
        <v>0</v>
      </c>
      <c r="J177" s="220">
        <f t="shared" si="60"/>
        <v>0</v>
      </c>
      <c r="K177" s="220">
        <f t="shared" si="60"/>
        <v>0</v>
      </c>
      <c r="L177" s="220">
        <f t="shared" si="60"/>
        <v>0</v>
      </c>
      <c r="M177" s="220">
        <f t="shared" si="60"/>
        <v>0</v>
      </c>
      <c r="N177" s="220">
        <f t="shared" si="60"/>
        <v>0</v>
      </c>
      <c r="O177" s="220">
        <f t="shared" si="60"/>
        <v>0</v>
      </c>
      <c r="P177" s="221">
        <f t="shared" si="60"/>
        <v>0</v>
      </c>
    </row>
    <row r="178" ht="20" customHeight="1" spans="1:16">
      <c r="A178" s="240" t="s">
        <v>31</v>
      </c>
      <c r="B178" s="232" t="s">
        <v>43</v>
      </c>
      <c r="C178" s="233" t="s">
        <v>19</v>
      </c>
      <c r="D178" s="223"/>
      <c r="E178" s="223"/>
      <c r="F178" s="223"/>
      <c r="G178" s="223"/>
      <c r="H178" s="223"/>
      <c r="I178" s="223"/>
      <c r="J178" s="223"/>
      <c r="K178" s="223"/>
      <c r="L178" s="223"/>
      <c r="M178" s="223"/>
      <c r="N178" s="223"/>
      <c r="O178" s="223"/>
      <c r="P178" s="221"/>
    </row>
    <row r="179" ht="20" customHeight="1" spans="1:16">
      <c r="A179" s="241"/>
      <c r="B179" s="235"/>
      <c r="C179" s="233" t="s">
        <v>20</v>
      </c>
      <c r="D179" s="223"/>
      <c r="E179" s="223"/>
      <c r="F179" s="223"/>
      <c r="G179" s="223"/>
      <c r="H179" s="223"/>
      <c r="I179" s="223"/>
      <c r="J179" s="223"/>
      <c r="K179" s="223"/>
      <c r="L179" s="223"/>
      <c r="M179" s="223"/>
      <c r="N179" s="223"/>
      <c r="O179" s="223"/>
      <c r="P179" s="221"/>
    </row>
    <row r="180" ht="20" customHeight="1" spans="1:16">
      <c r="A180" s="241"/>
      <c r="B180" s="235"/>
      <c r="C180" s="236" t="s">
        <v>21</v>
      </c>
      <c r="D180" s="220" t="e">
        <f t="shared" ref="D180:P180" si="61">D179/D178</f>
        <v>#DIV/0!</v>
      </c>
      <c r="E180" s="220" t="e">
        <f t="shared" si="61"/>
        <v>#DIV/0!</v>
      </c>
      <c r="F180" s="220" t="e">
        <f t="shared" si="61"/>
        <v>#DIV/0!</v>
      </c>
      <c r="G180" s="220" t="e">
        <f t="shared" si="61"/>
        <v>#DIV/0!</v>
      </c>
      <c r="H180" s="220" t="e">
        <f t="shared" si="61"/>
        <v>#DIV/0!</v>
      </c>
      <c r="I180" s="220" t="e">
        <f t="shared" si="61"/>
        <v>#DIV/0!</v>
      </c>
      <c r="J180" s="220" t="e">
        <f t="shared" si="61"/>
        <v>#DIV/0!</v>
      </c>
      <c r="K180" s="220" t="e">
        <f t="shared" si="61"/>
        <v>#DIV/0!</v>
      </c>
      <c r="L180" s="220" t="e">
        <f t="shared" si="61"/>
        <v>#DIV/0!</v>
      </c>
      <c r="M180" s="220" t="e">
        <f t="shared" si="61"/>
        <v>#DIV/0!</v>
      </c>
      <c r="N180" s="220" t="e">
        <f t="shared" si="61"/>
        <v>#DIV/0!</v>
      </c>
      <c r="O180" s="220" t="e">
        <f t="shared" si="61"/>
        <v>#DIV/0!</v>
      </c>
      <c r="P180" s="221" t="e">
        <f t="shared" si="61"/>
        <v>#DIV/0!</v>
      </c>
    </row>
    <row r="181" ht="20" customHeight="1" spans="1:16">
      <c r="A181" s="241"/>
      <c r="B181" s="232" t="s">
        <v>44</v>
      </c>
      <c r="C181" s="233" t="s">
        <v>19</v>
      </c>
      <c r="D181" s="223"/>
      <c r="E181" s="223"/>
      <c r="F181" s="223"/>
      <c r="G181" s="223"/>
      <c r="H181" s="223"/>
      <c r="I181" s="223"/>
      <c r="J181" s="223"/>
      <c r="K181" s="223"/>
      <c r="L181" s="223"/>
      <c r="M181" s="223"/>
      <c r="N181" s="223"/>
      <c r="O181" s="223"/>
      <c r="P181" s="221"/>
    </row>
    <row r="182" ht="20" customHeight="1" spans="1:16">
      <c r="A182" s="241"/>
      <c r="B182" s="235"/>
      <c r="C182" s="233" t="s">
        <v>20</v>
      </c>
      <c r="D182" s="223"/>
      <c r="E182" s="223"/>
      <c r="F182" s="223"/>
      <c r="G182" s="223"/>
      <c r="H182" s="223"/>
      <c r="I182" s="223"/>
      <c r="J182" s="223"/>
      <c r="K182" s="223"/>
      <c r="L182" s="223"/>
      <c r="M182" s="223"/>
      <c r="N182" s="223"/>
      <c r="O182" s="223"/>
      <c r="P182" s="221"/>
    </row>
    <row r="183" ht="20" customHeight="1" spans="1:16">
      <c r="A183" s="242"/>
      <c r="B183" s="235"/>
      <c r="C183" s="236" t="s">
        <v>21</v>
      </c>
      <c r="D183" s="220" t="e">
        <f t="shared" ref="D183:P183" si="62">D182/D181</f>
        <v>#DIV/0!</v>
      </c>
      <c r="E183" s="220" t="e">
        <f t="shared" si="62"/>
        <v>#DIV/0!</v>
      </c>
      <c r="F183" s="220" t="e">
        <f t="shared" si="62"/>
        <v>#DIV/0!</v>
      </c>
      <c r="G183" s="220" t="e">
        <f t="shared" si="62"/>
        <v>#DIV/0!</v>
      </c>
      <c r="H183" s="220" t="e">
        <f t="shared" si="62"/>
        <v>#DIV/0!</v>
      </c>
      <c r="I183" s="220" t="e">
        <f t="shared" si="62"/>
        <v>#DIV/0!</v>
      </c>
      <c r="J183" s="220" t="e">
        <f t="shared" si="62"/>
        <v>#DIV/0!</v>
      </c>
      <c r="K183" s="220" t="e">
        <f t="shared" si="62"/>
        <v>#DIV/0!</v>
      </c>
      <c r="L183" s="220" t="e">
        <f t="shared" si="62"/>
        <v>#DIV/0!</v>
      </c>
      <c r="M183" s="220" t="e">
        <f t="shared" si="62"/>
        <v>#DIV/0!</v>
      </c>
      <c r="N183" s="220" t="e">
        <f t="shared" si="62"/>
        <v>#DIV/0!</v>
      </c>
      <c r="O183" s="220" t="e">
        <f t="shared" si="62"/>
        <v>#DIV/0!</v>
      </c>
      <c r="P183" s="221" t="e">
        <f t="shared" si="62"/>
        <v>#DIV/0!</v>
      </c>
    </row>
    <row r="184" ht="20" customHeight="1" spans="1:16">
      <c r="A184" s="232" t="s">
        <v>32</v>
      </c>
      <c r="B184" s="232" t="s">
        <v>43</v>
      </c>
      <c r="C184" s="233" t="s">
        <v>19</v>
      </c>
      <c r="D184" s="217">
        <v>0.666666666666667</v>
      </c>
      <c r="E184" s="217">
        <v>0.666666666666667</v>
      </c>
      <c r="F184" s="217">
        <v>0.666666666666667</v>
      </c>
      <c r="G184" s="217">
        <v>0.666666666666667</v>
      </c>
      <c r="H184" s="217">
        <v>0.666666666666667</v>
      </c>
      <c r="I184" s="217">
        <v>0.666666666666667</v>
      </c>
      <c r="J184" s="217">
        <v>0.666666666666667</v>
      </c>
      <c r="K184" s="217">
        <v>0.666666666666667</v>
      </c>
      <c r="L184" s="217">
        <v>0.666666666666667</v>
      </c>
      <c r="M184" s="217">
        <v>0.666666666666667</v>
      </c>
      <c r="N184" s="217">
        <v>0.666666666666667</v>
      </c>
      <c r="O184" s="217">
        <v>0.666666666666667</v>
      </c>
      <c r="P184" s="234">
        <v>8</v>
      </c>
    </row>
    <row r="185" ht="20" customHeight="1" spans="1:16">
      <c r="A185" s="235"/>
      <c r="B185" s="235"/>
      <c r="C185" s="233" t="s">
        <v>20</v>
      </c>
      <c r="D185" s="217">
        <v>0</v>
      </c>
      <c r="E185" s="217">
        <v>0.5</v>
      </c>
      <c r="F185" s="217">
        <v>0</v>
      </c>
      <c r="G185" s="217">
        <v>1</v>
      </c>
      <c r="H185" s="217">
        <v>1</v>
      </c>
      <c r="I185" s="217">
        <v>1</v>
      </c>
      <c r="J185" s="217"/>
      <c r="K185" s="217"/>
      <c r="L185" s="217"/>
      <c r="M185" s="217"/>
      <c r="N185" s="217"/>
      <c r="O185" s="217"/>
      <c r="P185" s="234">
        <f>SUM(D185:O185)</f>
        <v>3.5</v>
      </c>
    </row>
    <row r="186" ht="20" customHeight="1" spans="1:16">
      <c r="A186" s="235"/>
      <c r="B186" s="235"/>
      <c r="C186" s="236" t="s">
        <v>21</v>
      </c>
      <c r="D186" s="237">
        <f t="shared" ref="D186:P186" si="63">D185/D184</f>
        <v>0</v>
      </c>
      <c r="E186" s="237">
        <f t="shared" si="63"/>
        <v>0.75</v>
      </c>
      <c r="F186" s="237">
        <f t="shared" si="63"/>
        <v>0</v>
      </c>
      <c r="G186" s="237">
        <f t="shared" si="63"/>
        <v>1.5</v>
      </c>
      <c r="H186" s="237">
        <f t="shared" si="63"/>
        <v>1.5</v>
      </c>
      <c r="I186" s="237">
        <f t="shared" si="63"/>
        <v>1.5</v>
      </c>
      <c r="J186" s="237">
        <f t="shared" si="63"/>
        <v>0</v>
      </c>
      <c r="K186" s="237">
        <f t="shared" si="63"/>
        <v>0</v>
      </c>
      <c r="L186" s="237">
        <f t="shared" si="63"/>
        <v>0</v>
      </c>
      <c r="M186" s="237">
        <f t="shared" si="63"/>
        <v>0</v>
      </c>
      <c r="N186" s="237">
        <f t="shared" si="63"/>
        <v>0</v>
      </c>
      <c r="O186" s="237">
        <f t="shared" si="63"/>
        <v>0</v>
      </c>
      <c r="P186" s="238">
        <f t="shared" si="63"/>
        <v>0.4375</v>
      </c>
    </row>
    <row r="187" ht="20" customHeight="1" spans="1:16">
      <c r="A187" s="235"/>
      <c r="B187" s="232" t="s">
        <v>44</v>
      </c>
      <c r="C187" s="233" t="s">
        <v>19</v>
      </c>
      <c r="D187" s="217">
        <f t="shared" ref="D187:O187" si="64">3/12</f>
        <v>0.25</v>
      </c>
      <c r="E187" s="217">
        <f t="shared" si="64"/>
        <v>0.25</v>
      </c>
      <c r="F187" s="217">
        <f t="shared" si="64"/>
        <v>0.25</v>
      </c>
      <c r="G187" s="217">
        <f t="shared" si="64"/>
        <v>0.25</v>
      </c>
      <c r="H187" s="217">
        <f t="shared" si="64"/>
        <v>0.25</v>
      </c>
      <c r="I187" s="217">
        <f t="shared" si="64"/>
        <v>0.25</v>
      </c>
      <c r="J187" s="217">
        <f t="shared" si="64"/>
        <v>0.25</v>
      </c>
      <c r="K187" s="217">
        <f t="shared" si="64"/>
        <v>0.25</v>
      </c>
      <c r="L187" s="217">
        <f t="shared" si="64"/>
        <v>0.25</v>
      </c>
      <c r="M187" s="217">
        <f t="shared" si="64"/>
        <v>0.25</v>
      </c>
      <c r="N187" s="217">
        <f t="shared" si="64"/>
        <v>0.25</v>
      </c>
      <c r="O187" s="217">
        <f t="shared" si="64"/>
        <v>0.25</v>
      </c>
      <c r="P187" s="234">
        <v>3</v>
      </c>
    </row>
    <row r="188" ht="20" customHeight="1" spans="1:16">
      <c r="A188" s="235"/>
      <c r="B188" s="235"/>
      <c r="C188" s="233" t="s">
        <v>20</v>
      </c>
      <c r="D188" s="217">
        <v>0</v>
      </c>
      <c r="E188" s="217">
        <v>0</v>
      </c>
      <c r="F188" s="217"/>
      <c r="G188" s="217"/>
      <c r="H188" s="217"/>
      <c r="I188" s="217"/>
      <c r="J188" s="217"/>
      <c r="K188" s="217"/>
      <c r="L188" s="217"/>
      <c r="M188" s="217"/>
      <c r="N188" s="217"/>
      <c r="O188" s="217"/>
      <c r="P188" s="234">
        <f>SUM(D188:O188)</f>
        <v>0</v>
      </c>
    </row>
    <row r="189" ht="20" customHeight="1" spans="1:16">
      <c r="A189" s="239"/>
      <c r="B189" s="235"/>
      <c r="C189" s="236" t="s">
        <v>21</v>
      </c>
      <c r="D189" s="220">
        <f t="shared" ref="D189:P189" si="65">D188/D187</f>
        <v>0</v>
      </c>
      <c r="E189" s="220">
        <f t="shared" si="65"/>
        <v>0</v>
      </c>
      <c r="F189" s="220">
        <f t="shared" si="65"/>
        <v>0</v>
      </c>
      <c r="G189" s="220">
        <f t="shared" si="65"/>
        <v>0</v>
      </c>
      <c r="H189" s="220">
        <f t="shared" si="65"/>
        <v>0</v>
      </c>
      <c r="I189" s="220">
        <f t="shared" si="65"/>
        <v>0</v>
      </c>
      <c r="J189" s="220">
        <f t="shared" si="65"/>
        <v>0</v>
      </c>
      <c r="K189" s="220">
        <f t="shared" si="65"/>
        <v>0</v>
      </c>
      <c r="L189" s="220">
        <f t="shared" si="65"/>
        <v>0</v>
      </c>
      <c r="M189" s="220">
        <f t="shared" si="65"/>
        <v>0</v>
      </c>
      <c r="N189" s="220">
        <f t="shared" si="65"/>
        <v>0</v>
      </c>
      <c r="O189" s="220">
        <f t="shared" si="65"/>
        <v>0</v>
      </c>
      <c r="P189" s="221">
        <f t="shared" si="65"/>
        <v>0</v>
      </c>
    </row>
    <row r="190" ht="20" customHeight="1" spans="1:16">
      <c r="A190" s="240" t="s">
        <v>50</v>
      </c>
      <c r="B190" s="232" t="s">
        <v>43</v>
      </c>
      <c r="C190" s="233" t="s">
        <v>19</v>
      </c>
      <c r="D190" s="217">
        <v>0.333333333333333</v>
      </c>
      <c r="E190" s="217">
        <v>0.333333333333333</v>
      </c>
      <c r="F190" s="217">
        <v>0.333333333333333</v>
      </c>
      <c r="G190" s="217">
        <v>0.333333333333333</v>
      </c>
      <c r="H190" s="217">
        <v>0.333333333333333</v>
      </c>
      <c r="I190" s="217">
        <v>0.333333333333333</v>
      </c>
      <c r="J190" s="217">
        <v>0.333333333333333</v>
      </c>
      <c r="K190" s="217">
        <v>0.333333333333333</v>
      </c>
      <c r="L190" s="217">
        <v>0.333333333333333</v>
      </c>
      <c r="M190" s="217">
        <v>0.333333333333333</v>
      </c>
      <c r="N190" s="217">
        <v>0.333333333333333</v>
      </c>
      <c r="O190" s="217">
        <v>0.333333333333333</v>
      </c>
      <c r="P190" s="234">
        <v>4</v>
      </c>
    </row>
    <row r="191" ht="20" customHeight="1" spans="1:16">
      <c r="A191" s="241"/>
      <c r="B191" s="235"/>
      <c r="C191" s="233" t="s">
        <v>20</v>
      </c>
      <c r="D191" s="217">
        <v>0</v>
      </c>
      <c r="E191" s="217">
        <v>0</v>
      </c>
      <c r="F191" s="217">
        <v>0.5</v>
      </c>
      <c r="G191" s="217">
        <v>0.5</v>
      </c>
      <c r="H191" s="217">
        <v>0.5</v>
      </c>
      <c r="I191" s="217">
        <v>0</v>
      </c>
      <c r="J191" s="217"/>
      <c r="K191" s="217"/>
      <c r="L191" s="217"/>
      <c r="M191" s="217"/>
      <c r="N191" s="217"/>
      <c r="O191" s="217"/>
      <c r="P191" s="234">
        <f>SUM(D191:O191)</f>
        <v>1.5</v>
      </c>
    </row>
    <row r="192" ht="20" customHeight="1" spans="1:16">
      <c r="A192" s="241"/>
      <c r="B192" s="235"/>
      <c r="C192" s="236" t="s">
        <v>21</v>
      </c>
      <c r="D192" s="237">
        <f t="shared" ref="D192:P192" si="66">D191/D190</f>
        <v>0</v>
      </c>
      <c r="E192" s="237">
        <f t="shared" si="66"/>
        <v>0</v>
      </c>
      <c r="F192" s="237">
        <f t="shared" si="66"/>
        <v>1.5</v>
      </c>
      <c r="G192" s="237">
        <f t="shared" si="66"/>
        <v>1.5</v>
      </c>
      <c r="H192" s="237">
        <f t="shared" si="66"/>
        <v>1.5</v>
      </c>
      <c r="I192" s="237">
        <f t="shared" si="66"/>
        <v>0</v>
      </c>
      <c r="J192" s="237">
        <f t="shared" si="66"/>
        <v>0</v>
      </c>
      <c r="K192" s="237">
        <f t="shared" si="66"/>
        <v>0</v>
      </c>
      <c r="L192" s="237">
        <f t="shared" si="66"/>
        <v>0</v>
      </c>
      <c r="M192" s="237">
        <f t="shared" si="66"/>
        <v>0</v>
      </c>
      <c r="N192" s="237">
        <f t="shared" si="66"/>
        <v>0</v>
      </c>
      <c r="O192" s="237">
        <f t="shared" si="66"/>
        <v>0</v>
      </c>
      <c r="P192" s="238">
        <f t="shared" si="66"/>
        <v>0.375</v>
      </c>
    </row>
    <row r="193" ht="20" customHeight="1" spans="1:16">
      <c r="A193" s="241"/>
      <c r="B193" s="232" t="s">
        <v>44</v>
      </c>
      <c r="C193" s="233" t="s">
        <v>19</v>
      </c>
      <c r="D193" s="217">
        <f t="shared" ref="D193:O193" si="67">3/12</f>
        <v>0.25</v>
      </c>
      <c r="E193" s="217">
        <f t="shared" si="67"/>
        <v>0.25</v>
      </c>
      <c r="F193" s="217">
        <f t="shared" si="67"/>
        <v>0.25</v>
      </c>
      <c r="G193" s="217">
        <f t="shared" si="67"/>
        <v>0.25</v>
      </c>
      <c r="H193" s="217">
        <f t="shared" si="67"/>
        <v>0.25</v>
      </c>
      <c r="I193" s="217">
        <f t="shared" si="67"/>
        <v>0.25</v>
      </c>
      <c r="J193" s="217">
        <f t="shared" si="67"/>
        <v>0.25</v>
      </c>
      <c r="K193" s="217">
        <f t="shared" si="67"/>
        <v>0.25</v>
      </c>
      <c r="L193" s="217">
        <f t="shared" si="67"/>
        <v>0.25</v>
      </c>
      <c r="M193" s="217">
        <f t="shared" si="67"/>
        <v>0.25</v>
      </c>
      <c r="N193" s="217">
        <f t="shared" si="67"/>
        <v>0.25</v>
      </c>
      <c r="O193" s="217">
        <f t="shared" si="67"/>
        <v>0.25</v>
      </c>
      <c r="P193" s="234">
        <v>3</v>
      </c>
    </row>
    <row r="194" ht="20" customHeight="1" spans="1:16">
      <c r="A194" s="241"/>
      <c r="B194" s="235"/>
      <c r="C194" s="233" t="s">
        <v>20</v>
      </c>
      <c r="D194" s="217">
        <v>0</v>
      </c>
      <c r="E194" s="217">
        <v>0</v>
      </c>
      <c r="F194" s="217"/>
      <c r="G194" s="217"/>
      <c r="H194" s="217"/>
      <c r="I194" s="217"/>
      <c r="J194" s="217"/>
      <c r="K194" s="217"/>
      <c r="L194" s="217"/>
      <c r="M194" s="217"/>
      <c r="N194" s="217"/>
      <c r="O194" s="217"/>
      <c r="P194" s="234">
        <f>SUM(D194:O194)</f>
        <v>0</v>
      </c>
    </row>
    <row r="195" ht="20" customHeight="1" spans="1:16">
      <c r="A195" s="242"/>
      <c r="B195" s="235"/>
      <c r="C195" s="236" t="s">
        <v>21</v>
      </c>
      <c r="D195" s="220">
        <f t="shared" ref="D195:P195" si="68">D194/D193</f>
        <v>0</v>
      </c>
      <c r="E195" s="220">
        <f t="shared" si="68"/>
        <v>0</v>
      </c>
      <c r="F195" s="220">
        <f t="shared" si="68"/>
        <v>0</v>
      </c>
      <c r="G195" s="220">
        <f t="shared" si="68"/>
        <v>0</v>
      </c>
      <c r="H195" s="220">
        <f t="shared" si="68"/>
        <v>0</v>
      </c>
      <c r="I195" s="220">
        <f t="shared" si="68"/>
        <v>0</v>
      </c>
      <c r="J195" s="220">
        <f t="shared" si="68"/>
        <v>0</v>
      </c>
      <c r="K195" s="220">
        <f t="shared" si="68"/>
        <v>0</v>
      </c>
      <c r="L195" s="220">
        <f t="shared" si="68"/>
        <v>0</v>
      </c>
      <c r="M195" s="220">
        <f t="shared" si="68"/>
        <v>0</v>
      </c>
      <c r="N195" s="220">
        <f t="shared" si="68"/>
        <v>0</v>
      </c>
      <c r="O195" s="220">
        <f t="shared" si="68"/>
        <v>0</v>
      </c>
      <c r="P195" s="221">
        <f t="shared" si="68"/>
        <v>0</v>
      </c>
    </row>
    <row r="196" ht="20" customHeight="1" spans="1:16">
      <c r="A196" s="232" t="s">
        <v>34</v>
      </c>
      <c r="B196" s="232" t="s">
        <v>43</v>
      </c>
      <c r="C196" s="233" t="s">
        <v>19</v>
      </c>
      <c r="D196" s="217">
        <v>0.666666666666667</v>
      </c>
      <c r="E196" s="217">
        <v>0.666666666666667</v>
      </c>
      <c r="F196" s="217">
        <v>0.666666666666667</v>
      </c>
      <c r="G196" s="217">
        <v>0.666666666666667</v>
      </c>
      <c r="H196" s="217">
        <v>0.666666666666667</v>
      </c>
      <c r="I196" s="217">
        <v>0.666666666666667</v>
      </c>
      <c r="J196" s="217">
        <v>0.666666666666667</v>
      </c>
      <c r="K196" s="217">
        <v>0.666666666666667</v>
      </c>
      <c r="L196" s="217">
        <v>0.666666666666667</v>
      </c>
      <c r="M196" s="217">
        <v>0.666666666666667</v>
      </c>
      <c r="N196" s="217">
        <v>0.666666666666667</v>
      </c>
      <c r="O196" s="217">
        <v>0.666666666666667</v>
      </c>
      <c r="P196" s="234">
        <v>8</v>
      </c>
    </row>
    <row r="197" ht="20" customHeight="1" spans="1:16">
      <c r="A197" s="235"/>
      <c r="B197" s="235"/>
      <c r="C197" s="233" t="s">
        <v>20</v>
      </c>
      <c r="D197" s="217">
        <v>1</v>
      </c>
      <c r="E197" s="217">
        <v>0</v>
      </c>
      <c r="F197" s="217">
        <v>0.5</v>
      </c>
      <c r="G197" s="217">
        <v>1</v>
      </c>
      <c r="H197" s="217">
        <v>0.5</v>
      </c>
      <c r="I197" s="217">
        <v>0.5</v>
      </c>
      <c r="J197" s="217"/>
      <c r="K197" s="217"/>
      <c r="L197" s="217"/>
      <c r="M197" s="217"/>
      <c r="N197" s="217"/>
      <c r="O197" s="217"/>
      <c r="P197" s="234">
        <f>SUM(D197:O197)</f>
        <v>3.5</v>
      </c>
    </row>
    <row r="198" ht="20" customHeight="1" spans="1:16">
      <c r="A198" s="235"/>
      <c r="B198" s="235"/>
      <c r="C198" s="236" t="s">
        <v>21</v>
      </c>
      <c r="D198" s="237">
        <f t="shared" ref="D198:P198" si="69">D197/D196</f>
        <v>1.5</v>
      </c>
      <c r="E198" s="237">
        <f t="shared" si="69"/>
        <v>0</v>
      </c>
      <c r="F198" s="237">
        <f t="shared" si="69"/>
        <v>0.75</v>
      </c>
      <c r="G198" s="237">
        <f t="shared" si="69"/>
        <v>1.5</v>
      </c>
      <c r="H198" s="237">
        <f t="shared" si="69"/>
        <v>0.75</v>
      </c>
      <c r="I198" s="237">
        <f t="shared" si="69"/>
        <v>0.75</v>
      </c>
      <c r="J198" s="237">
        <f t="shared" si="69"/>
        <v>0</v>
      </c>
      <c r="K198" s="237">
        <f t="shared" si="69"/>
        <v>0</v>
      </c>
      <c r="L198" s="237">
        <f t="shared" si="69"/>
        <v>0</v>
      </c>
      <c r="M198" s="237">
        <f t="shared" si="69"/>
        <v>0</v>
      </c>
      <c r="N198" s="237">
        <f t="shared" si="69"/>
        <v>0</v>
      </c>
      <c r="O198" s="237">
        <f t="shared" si="69"/>
        <v>0</v>
      </c>
      <c r="P198" s="238">
        <f t="shared" si="69"/>
        <v>0.4375</v>
      </c>
    </row>
    <row r="199" ht="20" customHeight="1" spans="1:16">
      <c r="A199" s="235"/>
      <c r="B199" s="232" t="s">
        <v>44</v>
      </c>
      <c r="C199" s="233" t="s">
        <v>19</v>
      </c>
      <c r="D199" s="217">
        <f t="shared" ref="D199:O199" si="70">3/12</f>
        <v>0.25</v>
      </c>
      <c r="E199" s="217">
        <f t="shared" si="70"/>
        <v>0.25</v>
      </c>
      <c r="F199" s="217">
        <f t="shared" si="70"/>
        <v>0.25</v>
      </c>
      <c r="G199" s="217">
        <f t="shared" si="70"/>
        <v>0.25</v>
      </c>
      <c r="H199" s="217">
        <f t="shared" si="70"/>
        <v>0.25</v>
      </c>
      <c r="I199" s="217">
        <f t="shared" si="70"/>
        <v>0.25</v>
      </c>
      <c r="J199" s="217">
        <f t="shared" si="70"/>
        <v>0.25</v>
      </c>
      <c r="K199" s="217">
        <f t="shared" si="70"/>
        <v>0.25</v>
      </c>
      <c r="L199" s="217">
        <f t="shared" si="70"/>
        <v>0.25</v>
      </c>
      <c r="M199" s="217">
        <f t="shared" si="70"/>
        <v>0.25</v>
      </c>
      <c r="N199" s="217">
        <f t="shared" si="70"/>
        <v>0.25</v>
      </c>
      <c r="O199" s="217">
        <f t="shared" si="70"/>
        <v>0.25</v>
      </c>
      <c r="P199" s="234">
        <v>3</v>
      </c>
    </row>
    <row r="200" ht="20" customHeight="1" spans="1:16">
      <c r="A200" s="235"/>
      <c r="B200" s="235"/>
      <c r="C200" s="233" t="s">
        <v>20</v>
      </c>
      <c r="D200" s="217">
        <v>0</v>
      </c>
      <c r="E200" s="217">
        <v>0</v>
      </c>
      <c r="F200" s="217"/>
      <c r="G200" s="217"/>
      <c r="H200" s="217"/>
      <c r="I200" s="217"/>
      <c r="J200" s="217"/>
      <c r="K200" s="217"/>
      <c r="L200" s="217"/>
      <c r="M200" s="217"/>
      <c r="N200" s="217"/>
      <c r="O200" s="217"/>
      <c r="P200" s="234">
        <f>SUM(D200:O200)</f>
        <v>0</v>
      </c>
    </row>
    <row r="201" ht="20" customHeight="1" spans="1:16">
      <c r="A201" s="239"/>
      <c r="B201" s="235"/>
      <c r="C201" s="236" t="s">
        <v>21</v>
      </c>
      <c r="D201" s="220">
        <f t="shared" ref="D201:P201" si="71">D200/D199</f>
        <v>0</v>
      </c>
      <c r="E201" s="220">
        <f t="shared" si="71"/>
        <v>0</v>
      </c>
      <c r="F201" s="220">
        <f t="shared" si="71"/>
        <v>0</v>
      </c>
      <c r="G201" s="220">
        <f t="shared" si="71"/>
        <v>0</v>
      </c>
      <c r="H201" s="220">
        <f t="shared" si="71"/>
        <v>0</v>
      </c>
      <c r="I201" s="220">
        <f t="shared" si="71"/>
        <v>0</v>
      </c>
      <c r="J201" s="220">
        <f t="shared" si="71"/>
        <v>0</v>
      </c>
      <c r="K201" s="220">
        <f t="shared" si="71"/>
        <v>0</v>
      </c>
      <c r="L201" s="220">
        <f t="shared" si="71"/>
        <v>0</v>
      </c>
      <c r="M201" s="220">
        <f t="shared" si="71"/>
        <v>0</v>
      </c>
      <c r="N201" s="220">
        <f t="shared" si="71"/>
        <v>0</v>
      </c>
      <c r="O201" s="220">
        <f t="shared" si="71"/>
        <v>0</v>
      </c>
      <c r="P201" s="221">
        <f t="shared" si="71"/>
        <v>0</v>
      </c>
    </row>
    <row r="202" ht="20" customHeight="1" spans="1:16">
      <c r="A202" s="232" t="s">
        <v>40</v>
      </c>
      <c r="B202" s="232" t="s">
        <v>43</v>
      </c>
      <c r="C202" s="233" t="s">
        <v>19</v>
      </c>
      <c r="D202" s="217">
        <v>0.333333333333333</v>
      </c>
      <c r="E202" s="217">
        <v>0.333333333333333</v>
      </c>
      <c r="F202" s="217">
        <v>0.333333333333333</v>
      </c>
      <c r="G202" s="217">
        <v>0.333333333333333</v>
      </c>
      <c r="H202" s="217">
        <v>0.333333333333333</v>
      </c>
      <c r="I202" s="217">
        <v>0.333333333333333</v>
      </c>
      <c r="J202" s="217">
        <v>0.333333333333333</v>
      </c>
      <c r="K202" s="217">
        <v>0.333333333333333</v>
      </c>
      <c r="L202" s="217">
        <v>0.333333333333333</v>
      </c>
      <c r="M202" s="217">
        <v>0.333333333333333</v>
      </c>
      <c r="N202" s="217">
        <v>0.333333333333333</v>
      </c>
      <c r="O202" s="217">
        <v>0.333333333333333</v>
      </c>
      <c r="P202" s="234">
        <v>4</v>
      </c>
    </row>
    <row r="203" ht="20" customHeight="1" spans="1:16">
      <c r="A203" s="235"/>
      <c r="B203" s="235"/>
      <c r="C203" s="233" t="s">
        <v>20</v>
      </c>
      <c r="D203" s="217">
        <v>0</v>
      </c>
      <c r="E203" s="217">
        <v>1</v>
      </c>
      <c r="F203" s="217">
        <v>0</v>
      </c>
      <c r="G203" s="217">
        <v>0</v>
      </c>
      <c r="H203" s="217">
        <v>0</v>
      </c>
      <c r="I203" s="217"/>
      <c r="J203" s="217"/>
      <c r="K203" s="217"/>
      <c r="L203" s="217"/>
      <c r="M203" s="217"/>
      <c r="N203" s="217"/>
      <c r="O203" s="217"/>
      <c r="P203" s="234">
        <f>SUM(D203:O203)</f>
        <v>1</v>
      </c>
    </row>
    <row r="204" ht="20" customHeight="1" spans="1:16">
      <c r="A204" s="235"/>
      <c r="B204" s="235"/>
      <c r="C204" s="236" t="s">
        <v>21</v>
      </c>
      <c r="D204" s="237">
        <f t="shared" ref="D204:P204" si="72">D203/D202</f>
        <v>0</v>
      </c>
      <c r="E204" s="237">
        <f t="shared" si="72"/>
        <v>3</v>
      </c>
      <c r="F204" s="237">
        <f t="shared" si="72"/>
        <v>0</v>
      </c>
      <c r="G204" s="237">
        <f t="shared" si="72"/>
        <v>0</v>
      </c>
      <c r="H204" s="237">
        <f t="shared" si="72"/>
        <v>0</v>
      </c>
      <c r="I204" s="237">
        <f t="shared" si="72"/>
        <v>0</v>
      </c>
      <c r="J204" s="237">
        <f t="shared" si="72"/>
        <v>0</v>
      </c>
      <c r="K204" s="237">
        <f t="shared" si="72"/>
        <v>0</v>
      </c>
      <c r="L204" s="237">
        <f t="shared" si="72"/>
        <v>0</v>
      </c>
      <c r="M204" s="237">
        <f t="shared" si="72"/>
        <v>0</v>
      </c>
      <c r="N204" s="237">
        <f t="shared" si="72"/>
        <v>0</v>
      </c>
      <c r="O204" s="237">
        <f t="shared" si="72"/>
        <v>0</v>
      </c>
      <c r="P204" s="238">
        <f t="shared" si="72"/>
        <v>0.25</v>
      </c>
    </row>
    <row r="205" ht="20" customHeight="1" spans="1:16">
      <c r="A205" s="235"/>
      <c r="B205" s="232" t="s">
        <v>44</v>
      </c>
      <c r="C205" s="233" t="s">
        <v>19</v>
      </c>
      <c r="D205" s="217">
        <f t="shared" ref="D205:O205" si="73">3/12</f>
        <v>0.25</v>
      </c>
      <c r="E205" s="217">
        <f t="shared" si="73"/>
        <v>0.25</v>
      </c>
      <c r="F205" s="217">
        <f t="shared" si="73"/>
        <v>0.25</v>
      </c>
      <c r="G205" s="217">
        <f t="shared" si="73"/>
        <v>0.25</v>
      </c>
      <c r="H205" s="217">
        <f t="shared" si="73"/>
        <v>0.25</v>
      </c>
      <c r="I205" s="217">
        <f t="shared" si="73"/>
        <v>0.25</v>
      </c>
      <c r="J205" s="217">
        <f t="shared" si="73"/>
        <v>0.25</v>
      </c>
      <c r="K205" s="217">
        <f t="shared" si="73"/>
        <v>0.25</v>
      </c>
      <c r="L205" s="217">
        <f t="shared" si="73"/>
        <v>0.25</v>
      </c>
      <c r="M205" s="217">
        <f t="shared" si="73"/>
        <v>0.25</v>
      </c>
      <c r="N205" s="217">
        <f t="shared" si="73"/>
        <v>0.25</v>
      </c>
      <c r="O205" s="217">
        <f t="shared" si="73"/>
        <v>0.25</v>
      </c>
      <c r="P205" s="234">
        <v>3</v>
      </c>
    </row>
    <row r="206" ht="20" customHeight="1" spans="1:16">
      <c r="A206" s="235"/>
      <c r="B206" s="235"/>
      <c r="C206" s="233" t="s">
        <v>20</v>
      </c>
      <c r="D206" s="217">
        <v>0</v>
      </c>
      <c r="E206" s="217">
        <v>0</v>
      </c>
      <c r="F206" s="217"/>
      <c r="G206" s="217"/>
      <c r="H206" s="217"/>
      <c r="I206" s="217"/>
      <c r="J206" s="217"/>
      <c r="K206" s="217"/>
      <c r="L206" s="217"/>
      <c r="M206" s="217"/>
      <c r="N206" s="217"/>
      <c r="O206" s="217"/>
      <c r="P206" s="234">
        <f>SUM(D206:O206)</f>
        <v>0</v>
      </c>
    </row>
    <row r="207" ht="20" customHeight="1" spans="1:16">
      <c r="A207" s="239"/>
      <c r="B207" s="235"/>
      <c r="C207" s="236" t="s">
        <v>21</v>
      </c>
      <c r="D207" s="220">
        <f t="shared" ref="D207:P207" si="74">D206/D205</f>
        <v>0</v>
      </c>
      <c r="E207" s="220">
        <f t="shared" si="74"/>
        <v>0</v>
      </c>
      <c r="F207" s="220">
        <f t="shared" si="74"/>
        <v>0</v>
      </c>
      <c r="G207" s="220">
        <f t="shared" si="74"/>
        <v>0</v>
      </c>
      <c r="H207" s="220">
        <f t="shared" si="74"/>
        <v>0</v>
      </c>
      <c r="I207" s="220">
        <f t="shared" si="74"/>
        <v>0</v>
      </c>
      <c r="J207" s="220">
        <f t="shared" si="74"/>
        <v>0</v>
      </c>
      <c r="K207" s="220">
        <f t="shared" si="74"/>
        <v>0</v>
      </c>
      <c r="L207" s="220">
        <f t="shared" si="74"/>
        <v>0</v>
      </c>
      <c r="M207" s="220">
        <f t="shared" si="74"/>
        <v>0</v>
      </c>
      <c r="N207" s="220">
        <f t="shared" si="74"/>
        <v>0</v>
      </c>
      <c r="O207" s="220">
        <f t="shared" si="74"/>
        <v>0</v>
      </c>
      <c r="P207" s="221">
        <f t="shared" si="74"/>
        <v>0</v>
      </c>
    </row>
    <row r="208" ht="20" customHeight="1" spans="1:16">
      <c r="A208" s="232" t="s">
        <v>36</v>
      </c>
      <c r="B208" s="232" t="s">
        <v>43</v>
      </c>
      <c r="C208" s="233" t="s">
        <v>19</v>
      </c>
      <c r="D208" s="217">
        <v>0.666666666666667</v>
      </c>
      <c r="E208" s="217">
        <v>0.666666666666667</v>
      </c>
      <c r="F208" s="217">
        <v>0.666666666666667</v>
      </c>
      <c r="G208" s="217">
        <v>0.666666666666667</v>
      </c>
      <c r="H208" s="217">
        <v>0.666666666666667</v>
      </c>
      <c r="I208" s="217">
        <v>0.666666666666667</v>
      </c>
      <c r="J208" s="217">
        <v>0.666666666666667</v>
      </c>
      <c r="K208" s="217">
        <v>0.666666666666667</v>
      </c>
      <c r="L208" s="217">
        <v>0.666666666666667</v>
      </c>
      <c r="M208" s="217">
        <v>0.666666666666667</v>
      </c>
      <c r="N208" s="217">
        <v>0.666666666666667</v>
      </c>
      <c r="O208" s="217">
        <v>0.666666666666667</v>
      </c>
      <c r="P208" s="234">
        <v>8</v>
      </c>
    </row>
    <row r="209" ht="20" customHeight="1" spans="1:16">
      <c r="A209" s="235"/>
      <c r="B209" s="235"/>
      <c r="C209" s="233" t="s">
        <v>20</v>
      </c>
      <c r="D209" s="217">
        <v>2</v>
      </c>
      <c r="E209" s="217">
        <v>0.5</v>
      </c>
      <c r="F209" s="217">
        <v>0</v>
      </c>
      <c r="G209" s="217">
        <v>0</v>
      </c>
      <c r="H209" s="217">
        <v>0.5</v>
      </c>
      <c r="I209" s="217">
        <v>0</v>
      </c>
      <c r="J209" s="217"/>
      <c r="K209" s="217"/>
      <c r="L209" s="217"/>
      <c r="M209" s="217"/>
      <c r="N209" s="217"/>
      <c r="O209" s="217"/>
      <c r="P209" s="234">
        <f>SUM(D209:O209)</f>
        <v>3</v>
      </c>
    </row>
    <row r="210" ht="20" customHeight="1" spans="1:16">
      <c r="A210" s="235"/>
      <c r="B210" s="235"/>
      <c r="C210" s="236" t="s">
        <v>21</v>
      </c>
      <c r="D210" s="237">
        <f t="shared" ref="D210:P210" si="75">D209/D208</f>
        <v>3</v>
      </c>
      <c r="E210" s="237">
        <f t="shared" si="75"/>
        <v>0.75</v>
      </c>
      <c r="F210" s="237">
        <f t="shared" si="75"/>
        <v>0</v>
      </c>
      <c r="G210" s="237">
        <f t="shared" si="75"/>
        <v>0</v>
      </c>
      <c r="H210" s="237">
        <f t="shared" si="75"/>
        <v>0.75</v>
      </c>
      <c r="I210" s="237">
        <f t="shared" si="75"/>
        <v>0</v>
      </c>
      <c r="J210" s="237">
        <f t="shared" si="75"/>
        <v>0</v>
      </c>
      <c r="K210" s="237">
        <f t="shared" si="75"/>
        <v>0</v>
      </c>
      <c r="L210" s="237">
        <f t="shared" si="75"/>
        <v>0</v>
      </c>
      <c r="M210" s="237">
        <f t="shared" si="75"/>
        <v>0</v>
      </c>
      <c r="N210" s="237">
        <f t="shared" si="75"/>
        <v>0</v>
      </c>
      <c r="O210" s="237">
        <f t="shared" si="75"/>
        <v>0</v>
      </c>
      <c r="P210" s="238">
        <f t="shared" si="75"/>
        <v>0.375</v>
      </c>
    </row>
    <row r="211" ht="20" customHeight="1" spans="1:16">
      <c r="A211" s="235"/>
      <c r="B211" s="232" t="s">
        <v>44</v>
      </c>
      <c r="C211" s="233" t="s">
        <v>19</v>
      </c>
      <c r="D211" s="217">
        <f t="shared" ref="D211:O211" si="76">3/12</f>
        <v>0.25</v>
      </c>
      <c r="E211" s="217">
        <f t="shared" si="76"/>
        <v>0.25</v>
      </c>
      <c r="F211" s="217">
        <f t="shared" si="76"/>
        <v>0.25</v>
      </c>
      <c r="G211" s="217">
        <f t="shared" si="76"/>
        <v>0.25</v>
      </c>
      <c r="H211" s="217">
        <f t="shared" si="76"/>
        <v>0.25</v>
      </c>
      <c r="I211" s="217">
        <f t="shared" si="76"/>
        <v>0.25</v>
      </c>
      <c r="J211" s="217">
        <f t="shared" si="76"/>
        <v>0.25</v>
      </c>
      <c r="K211" s="217">
        <f t="shared" si="76"/>
        <v>0.25</v>
      </c>
      <c r="L211" s="217">
        <f t="shared" si="76"/>
        <v>0.25</v>
      </c>
      <c r="M211" s="217">
        <f t="shared" si="76"/>
        <v>0.25</v>
      </c>
      <c r="N211" s="217">
        <f t="shared" si="76"/>
        <v>0.25</v>
      </c>
      <c r="O211" s="217">
        <f t="shared" si="76"/>
        <v>0.25</v>
      </c>
      <c r="P211" s="234">
        <v>3</v>
      </c>
    </row>
    <row r="212" ht="20" customHeight="1" spans="1:16">
      <c r="A212" s="235"/>
      <c r="B212" s="235"/>
      <c r="C212" s="233" t="s">
        <v>20</v>
      </c>
      <c r="D212" s="217">
        <v>0</v>
      </c>
      <c r="E212" s="217">
        <v>0</v>
      </c>
      <c r="F212" s="217"/>
      <c r="G212" s="217"/>
      <c r="H212" s="217"/>
      <c r="I212" s="217"/>
      <c r="J212" s="217"/>
      <c r="K212" s="217"/>
      <c r="L212" s="217"/>
      <c r="M212" s="217"/>
      <c r="N212" s="217"/>
      <c r="O212" s="217"/>
      <c r="P212" s="234">
        <f>SUM(D212:O212)</f>
        <v>0</v>
      </c>
    </row>
    <row r="213" ht="20" customHeight="1" spans="1:16">
      <c r="A213" s="239"/>
      <c r="B213" s="235"/>
      <c r="C213" s="236" t="s">
        <v>21</v>
      </c>
      <c r="D213" s="220">
        <f t="shared" ref="D213:P213" si="77">D212/D211</f>
        <v>0</v>
      </c>
      <c r="E213" s="220">
        <f t="shared" si="77"/>
        <v>0</v>
      </c>
      <c r="F213" s="220">
        <f t="shared" si="77"/>
        <v>0</v>
      </c>
      <c r="G213" s="220">
        <f t="shared" si="77"/>
        <v>0</v>
      </c>
      <c r="H213" s="220">
        <f t="shared" si="77"/>
        <v>0</v>
      </c>
      <c r="I213" s="220">
        <f t="shared" si="77"/>
        <v>0</v>
      </c>
      <c r="J213" s="220">
        <f t="shared" si="77"/>
        <v>0</v>
      </c>
      <c r="K213" s="220">
        <f t="shared" si="77"/>
        <v>0</v>
      </c>
      <c r="L213" s="220">
        <f t="shared" si="77"/>
        <v>0</v>
      </c>
      <c r="M213" s="220">
        <f t="shared" si="77"/>
        <v>0</v>
      </c>
      <c r="N213" s="220">
        <f t="shared" si="77"/>
        <v>0</v>
      </c>
      <c r="O213" s="220">
        <f t="shared" si="77"/>
        <v>0</v>
      </c>
      <c r="P213" s="221">
        <f t="shared" si="77"/>
        <v>0</v>
      </c>
    </row>
    <row r="214" ht="20" customHeight="1" spans="1:16">
      <c r="A214" s="240" t="s">
        <v>37</v>
      </c>
      <c r="B214" s="232" t="s">
        <v>43</v>
      </c>
      <c r="C214" s="233" t="s">
        <v>19</v>
      </c>
      <c r="D214" s="223"/>
      <c r="E214" s="223"/>
      <c r="F214" s="223"/>
      <c r="G214" s="223"/>
      <c r="H214" s="223"/>
      <c r="I214" s="223"/>
      <c r="J214" s="223"/>
      <c r="K214" s="223"/>
      <c r="L214" s="223"/>
      <c r="M214" s="223"/>
      <c r="N214" s="223"/>
      <c r="O214" s="223"/>
      <c r="P214" s="221"/>
    </row>
    <row r="215" ht="20" customHeight="1" spans="1:16">
      <c r="A215" s="241"/>
      <c r="B215" s="235"/>
      <c r="C215" s="233" t="s">
        <v>20</v>
      </c>
      <c r="D215" s="223"/>
      <c r="E215" s="223"/>
      <c r="F215" s="223"/>
      <c r="G215" s="223"/>
      <c r="H215" s="223"/>
      <c r="I215" s="223"/>
      <c r="J215" s="223"/>
      <c r="K215" s="223"/>
      <c r="L215" s="223"/>
      <c r="M215" s="223"/>
      <c r="N215" s="223"/>
      <c r="O215" s="223"/>
      <c r="P215" s="221"/>
    </row>
    <row r="216" ht="20" customHeight="1" spans="1:16">
      <c r="A216" s="241"/>
      <c r="B216" s="235"/>
      <c r="C216" s="236" t="s">
        <v>21</v>
      </c>
      <c r="D216" s="220" t="e">
        <f t="shared" ref="D216:P216" si="78">D215/D214</f>
        <v>#DIV/0!</v>
      </c>
      <c r="E216" s="220" t="e">
        <f t="shared" si="78"/>
        <v>#DIV/0!</v>
      </c>
      <c r="F216" s="220" t="e">
        <f t="shared" si="78"/>
        <v>#DIV/0!</v>
      </c>
      <c r="G216" s="220" t="e">
        <f t="shared" si="78"/>
        <v>#DIV/0!</v>
      </c>
      <c r="H216" s="220" t="e">
        <f t="shared" si="78"/>
        <v>#DIV/0!</v>
      </c>
      <c r="I216" s="220" t="e">
        <f t="shared" si="78"/>
        <v>#DIV/0!</v>
      </c>
      <c r="J216" s="220" t="e">
        <f t="shared" si="78"/>
        <v>#DIV/0!</v>
      </c>
      <c r="K216" s="220" t="e">
        <f t="shared" si="78"/>
        <v>#DIV/0!</v>
      </c>
      <c r="L216" s="220" t="e">
        <f t="shared" si="78"/>
        <v>#DIV/0!</v>
      </c>
      <c r="M216" s="220" t="e">
        <f t="shared" si="78"/>
        <v>#DIV/0!</v>
      </c>
      <c r="N216" s="220" t="e">
        <f t="shared" si="78"/>
        <v>#DIV/0!</v>
      </c>
      <c r="O216" s="220" t="e">
        <f t="shared" si="78"/>
        <v>#DIV/0!</v>
      </c>
      <c r="P216" s="221" t="e">
        <f t="shared" si="78"/>
        <v>#DIV/0!</v>
      </c>
    </row>
    <row r="217" ht="20" customHeight="1" spans="1:16">
      <c r="A217" s="241"/>
      <c r="B217" s="232" t="s">
        <v>44</v>
      </c>
      <c r="C217" s="233" t="s">
        <v>19</v>
      </c>
      <c r="D217" s="223"/>
      <c r="E217" s="223"/>
      <c r="F217" s="223"/>
      <c r="G217" s="223"/>
      <c r="H217" s="223"/>
      <c r="I217" s="223"/>
      <c r="J217" s="223"/>
      <c r="K217" s="223"/>
      <c r="L217" s="223"/>
      <c r="M217" s="223"/>
      <c r="N217" s="223"/>
      <c r="O217" s="223"/>
      <c r="P217" s="221"/>
    </row>
    <row r="218" ht="20" customHeight="1" spans="1:16">
      <c r="A218" s="241"/>
      <c r="B218" s="235"/>
      <c r="C218" s="233" t="s">
        <v>20</v>
      </c>
      <c r="D218" s="223"/>
      <c r="E218" s="223"/>
      <c r="F218" s="223"/>
      <c r="G218" s="223"/>
      <c r="H218" s="223"/>
      <c r="I218" s="223"/>
      <c r="J218" s="223"/>
      <c r="K218" s="223"/>
      <c r="L218" s="223"/>
      <c r="M218" s="223"/>
      <c r="N218" s="223"/>
      <c r="O218" s="223"/>
      <c r="P218" s="221"/>
    </row>
    <row r="219" ht="20" customHeight="1" spans="1:16">
      <c r="A219" s="242"/>
      <c r="B219" s="235"/>
      <c r="C219" s="236" t="s">
        <v>21</v>
      </c>
      <c r="D219" s="220" t="e">
        <f t="shared" ref="D219:P219" si="79">D218/D217</f>
        <v>#DIV/0!</v>
      </c>
      <c r="E219" s="220" t="e">
        <f t="shared" si="79"/>
        <v>#DIV/0!</v>
      </c>
      <c r="F219" s="220" t="e">
        <f t="shared" si="79"/>
        <v>#DIV/0!</v>
      </c>
      <c r="G219" s="220" t="e">
        <f t="shared" si="79"/>
        <v>#DIV/0!</v>
      </c>
      <c r="H219" s="220" t="e">
        <f t="shared" si="79"/>
        <v>#DIV/0!</v>
      </c>
      <c r="I219" s="220" t="e">
        <f t="shared" si="79"/>
        <v>#DIV/0!</v>
      </c>
      <c r="J219" s="220" t="e">
        <f t="shared" si="79"/>
        <v>#DIV/0!</v>
      </c>
      <c r="K219" s="220" t="e">
        <f t="shared" si="79"/>
        <v>#DIV/0!</v>
      </c>
      <c r="L219" s="220" t="e">
        <f t="shared" si="79"/>
        <v>#DIV/0!</v>
      </c>
      <c r="M219" s="220" t="e">
        <f t="shared" si="79"/>
        <v>#DIV/0!</v>
      </c>
      <c r="N219" s="220" t="e">
        <f t="shared" si="79"/>
        <v>#DIV/0!</v>
      </c>
      <c r="O219" s="220" t="e">
        <f t="shared" si="79"/>
        <v>#DIV/0!</v>
      </c>
      <c r="P219" s="221" t="e">
        <f t="shared" si="79"/>
        <v>#DIV/0!</v>
      </c>
    </row>
    <row r="220" ht="20" customHeight="1" spans="1:16">
      <c r="A220" s="216" t="s">
        <v>38</v>
      </c>
      <c r="B220" s="216" t="s">
        <v>43</v>
      </c>
      <c r="C220" s="233" t="s">
        <v>19</v>
      </c>
      <c r="D220" s="217">
        <v>0.583333333333333</v>
      </c>
      <c r="E220" s="217">
        <v>0.583333333333333</v>
      </c>
      <c r="F220" s="217">
        <v>0.583333333333333</v>
      </c>
      <c r="G220" s="217">
        <v>0.583333333333333</v>
      </c>
      <c r="H220" s="217">
        <v>0.583333333333333</v>
      </c>
      <c r="I220" s="217">
        <v>0.583333333333333</v>
      </c>
      <c r="J220" s="217">
        <v>0.583333333333333</v>
      </c>
      <c r="K220" s="217">
        <v>0.583333333333333</v>
      </c>
      <c r="L220" s="217">
        <v>0.583333333333333</v>
      </c>
      <c r="M220" s="217">
        <v>0.583333333333333</v>
      </c>
      <c r="N220" s="217">
        <v>0.583333333333333</v>
      </c>
      <c r="O220" s="217">
        <v>0.583333333333333</v>
      </c>
      <c r="P220" s="234">
        <v>7</v>
      </c>
    </row>
    <row r="221" ht="20" customHeight="1" spans="1:16">
      <c r="A221" s="216"/>
      <c r="B221" s="216"/>
      <c r="C221" s="233" t="s">
        <v>20</v>
      </c>
      <c r="D221" s="217">
        <v>2</v>
      </c>
      <c r="E221" s="217">
        <v>0</v>
      </c>
      <c r="F221" s="217">
        <v>1</v>
      </c>
      <c r="G221" s="217">
        <v>0.5</v>
      </c>
      <c r="H221" s="217">
        <v>0</v>
      </c>
      <c r="I221" s="217">
        <v>0.5</v>
      </c>
      <c r="J221" s="217"/>
      <c r="K221" s="217"/>
      <c r="L221" s="217"/>
      <c r="M221" s="217"/>
      <c r="N221" s="217"/>
      <c r="O221" s="217"/>
      <c r="P221" s="234">
        <f>SUM(D221:O221)</f>
        <v>4</v>
      </c>
    </row>
    <row r="222" ht="20" customHeight="1" spans="1:16">
      <c r="A222" s="216"/>
      <c r="B222" s="216"/>
      <c r="C222" s="236" t="s">
        <v>21</v>
      </c>
      <c r="D222" s="237">
        <f t="shared" ref="D222:P222" si="80">D221/D220</f>
        <v>3.42857142857143</v>
      </c>
      <c r="E222" s="237">
        <f t="shared" si="80"/>
        <v>0</v>
      </c>
      <c r="F222" s="237">
        <f t="shared" si="80"/>
        <v>1.71428571428572</v>
      </c>
      <c r="G222" s="237">
        <f t="shared" si="80"/>
        <v>0.857142857142858</v>
      </c>
      <c r="H222" s="237">
        <f t="shared" si="80"/>
        <v>0</v>
      </c>
      <c r="I222" s="237">
        <f t="shared" si="80"/>
        <v>0.857142857142858</v>
      </c>
      <c r="J222" s="237">
        <f t="shared" si="80"/>
        <v>0</v>
      </c>
      <c r="K222" s="237">
        <f t="shared" si="80"/>
        <v>0</v>
      </c>
      <c r="L222" s="237">
        <f t="shared" si="80"/>
        <v>0</v>
      </c>
      <c r="M222" s="237">
        <f t="shared" si="80"/>
        <v>0</v>
      </c>
      <c r="N222" s="237">
        <f t="shared" si="80"/>
        <v>0</v>
      </c>
      <c r="O222" s="237">
        <f t="shared" si="80"/>
        <v>0</v>
      </c>
      <c r="P222" s="238">
        <f t="shared" si="80"/>
        <v>0.571428571428571</v>
      </c>
    </row>
    <row r="223" ht="20" customHeight="1" spans="1:16">
      <c r="A223" s="216"/>
      <c r="B223" s="216" t="s">
        <v>44</v>
      </c>
      <c r="C223" s="215" t="s">
        <v>19</v>
      </c>
      <c r="D223" s="217">
        <f t="shared" ref="D223:O223" si="81">3/12</f>
        <v>0.25</v>
      </c>
      <c r="E223" s="217">
        <f t="shared" si="81"/>
        <v>0.25</v>
      </c>
      <c r="F223" s="217">
        <f t="shared" si="81"/>
        <v>0.25</v>
      </c>
      <c r="G223" s="217">
        <f t="shared" si="81"/>
        <v>0.25</v>
      </c>
      <c r="H223" s="217">
        <f t="shared" si="81"/>
        <v>0.25</v>
      </c>
      <c r="I223" s="217">
        <f t="shared" si="81"/>
        <v>0.25</v>
      </c>
      <c r="J223" s="217">
        <f t="shared" si="81"/>
        <v>0.25</v>
      </c>
      <c r="K223" s="217">
        <f t="shared" si="81"/>
        <v>0.25</v>
      </c>
      <c r="L223" s="217">
        <f t="shared" si="81"/>
        <v>0.25</v>
      </c>
      <c r="M223" s="217">
        <f t="shared" si="81"/>
        <v>0.25</v>
      </c>
      <c r="N223" s="217">
        <f t="shared" si="81"/>
        <v>0.25</v>
      </c>
      <c r="O223" s="217">
        <f t="shared" si="81"/>
        <v>0.25</v>
      </c>
      <c r="P223" s="234">
        <v>3</v>
      </c>
    </row>
    <row r="224" ht="20" customHeight="1" spans="1:16">
      <c r="A224" s="216"/>
      <c r="B224" s="216"/>
      <c r="C224" s="215" t="s">
        <v>20</v>
      </c>
      <c r="D224" s="217">
        <v>0</v>
      </c>
      <c r="E224" s="217">
        <v>0</v>
      </c>
      <c r="F224" s="217"/>
      <c r="G224" s="217"/>
      <c r="H224" s="217"/>
      <c r="I224" s="217"/>
      <c r="J224" s="217"/>
      <c r="K224" s="217"/>
      <c r="L224" s="217"/>
      <c r="M224" s="217"/>
      <c r="N224" s="217"/>
      <c r="O224" s="217"/>
      <c r="P224" s="234">
        <f>SUM(D224:O224)</f>
        <v>0</v>
      </c>
    </row>
    <row r="225" ht="20" customHeight="1" spans="1:16">
      <c r="A225" s="216"/>
      <c r="B225" s="216"/>
      <c r="C225" s="219" t="s">
        <v>21</v>
      </c>
      <c r="D225" s="220">
        <f t="shared" ref="D225:P225" si="82">D224/D223</f>
        <v>0</v>
      </c>
      <c r="E225" s="220">
        <f t="shared" si="82"/>
        <v>0</v>
      </c>
      <c r="F225" s="220">
        <f t="shared" si="82"/>
        <v>0</v>
      </c>
      <c r="G225" s="220">
        <f t="shared" si="82"/>
        <v>0</v>
      </c>
      <c r="H225" s="220">
        <f t="shared" si="82"/>
        <v>0</v>
      </c>
      <c r="I225" s="220">
        <f t="shared" si="82"/>
        <v>0</v>
      </c>
      <c r="J225" s="220">
        <f t="shared" si="82"/>
        <v>0</v>
      </c>
      <c r="K225" s="220">
        <f t="shared" si="82"/>
        <v>0</v>
      </c>
      <c r="L225" s="220">
        <f t="shared" si="82"/>
        <v>0</v>
      </c>
      <c r="M225" s="220">
        <f t="shared" si="82"/>
        <v>0</v>
      </c>
      <c r="N225" s="220">
        <f t="shared" si="82"/>
        <v>0</v>
      </c>
      <c r="O225" s="220">
        <f t="shared" si="82"/>
        <v>0</v>
      </c>
      <c r="P225" s="221">
        <f t="shared" si="82"/>
        <v>0</v>
      </c>
    </row>
    <row r="227" hidden="1" spans="1:16">
      <c r="B227" s="175" t="s">
        <v>51</v>
      </c>
      <c r="C227" s="175" t="s">
        <v>5</v>
      </c>
      <c r="D227" s="176" t="s">
        <v>6</v>
      </c>
      <c r="E227" s="176" t="s">
        <v>7</v>
      </c>
      <c r="F227" s="175" t="s">
        <v>8</v>
      </c>
      <c r="G227" s="176" t="s">
        <v>9</v>
      </c>
      <c r="H227" s="176" t="s">
        <v>10</v>
      </c>
      <c r="I227" s="175" t="s">
        <v>11</v>
      </c>
      <c r="J227" s="177" t="s">
        <v>12</v>
      </c>
      <c r="K227" s="175" t="s">
        <v>13</v>
      </c>
      <c r="L227" s="175" t="s">
        <v>14</v>
      </c>
      <c r="M227" s="177" t="s">
        <v>15</v>
      </c>
      <c r="N227" s="177" t="s">
        <v>16</v>
      </c>
    </row>
    <row r="228" hidden="1" spans="1:16">
      <c r="B228" s="175" t="s">
        <v>24</v>
      </c>
      <c r="C228" s="175">
        <f>D137</f>
        <v>0</v>
      </c>
      <c r="D228" s="175">
        <f t="shared" ref="D228:N228" si="83">E137</f>
        <v>0</v>
      </c>
      <c r="E228" s="175">
        <f t="shared" si="83"/>
        <v>1</v>
      </c>
      <c r="F228" s="175">
        <f t="shared" si="83"/>
        <v>1</v>
      </c>
      <c r="G228" s="175">
        <f t="shared" si="83"/>
        <v>0.5</v>
      </c>
      <c r="H228" s="175">
        <f t="shared" si="83"/>
        <v>0.5</v>
      </c>
      <c r="I228" s="175">
        <f t="shared" si="83"/>
        <v>0</v>
      </c>
      <c r="J228" s="175">
        <f t="shared" si="83"/>
        <v>0</v>
      </c>
      <c r="K228" s="175">
        <f t="shared" si="83"/>
        <v>0</v>
      </c>
      <c r="L228" s="175">
        <f t="shared" si="83"/>
        <v>0</v>
      </c>
      <c r="M228" s="175">
        <f t="shared" si="83"/>
        <v>0</v>
      </c>
      <c r="N228" s="175">
        <f t="shared" si="83"/>
        <v>0</v>
      </c>
    </row>
    <row r="229" hidden="1" spans="1:16">
      <c r="B229" s="175" t="s">
        <v>25</v>
      </c>
      <c r="C229" s="175">
        <f>D143</f>
        <v>2</v>
      </c>
      <c r="D229" s="175">
        <f t="shared" ref="D229:N229" si="84">E143</f>
        <v>1</v>
      </c>
      <c r="E229" s="175">
        <f t="shared" si="84"/>
        <v>0.5</v>
      </c>
      <c r="F229" s="175">
        <f t="shared" si="84"/>
        <v>0.5</v>
      </c>
      <c r="G229" s="175">
        <f t="shared" si="84"/>
        <v>1</v>
      </c>
      <c r="H229" s="175">
        <f t="shared" si="84"/>
        <v>1</v>
      </c>
      <c r="I229" s="175">
        <f t="shared" si="84"/>
        <v>0</v>
      </c>
      <c r="J229" s="175">
        <f t="shared" si="84"/>
        <v>0</v>
      </c>
      <c r="K229" s="175">
        <f t="shared" si="84"/>
        <v>0</v>
      </c>
      <c r="L229" s="175">
        <f t="shared" si="84"/>
        <v>0</v>
      </c>
      <c r="M229" s="175">
        <f t="shared" si="84"/>
        <v>0</v>
      </c>
      <c r="N229" s="175">
        <f t="shared" si="84"/>
        <v>0</v>
      </c>
    </row>
    <row r="230" hidden="1" spans="1:16">
      <c r="B230" s="175" t="s">
        <v>26</v>
      </c>
      <c r="C230" s="175">
        <f>D149</f>
        <v>1</v>
      </c>
      <c r="D230" s="175">
        <f t="shared" ref="D230:N230" si="85">E149</f>
        <v>0.5</v>
      </c>
      <c r="E230" s="175">
        <f t="shared" si="85"/>
        <v>0.5</v>
      </c>
      <c r="F230" s="175">
        <f t="shared" si="85"/>
        <v>0</v>
      </c>
      <c r="G230" s="175">
        <f t="shared" si="85"/>
        <v>0.5</v>
      </c>
      <c r="H230" s="175">
        <f t="shared" si="85"/>
        <v>0.5</v>
      </c>
      <c r="I230" s="175">
        <f t="shared" si="85"/>
        <v>0</v>
      </c>
      <c r="J230" s="175">
        <f t="shared" si="85"/>
        <v>0</v>
      </c>
      <c r="K230" s="175">
        <f t="shared" si="85"/>
        <v>0</v>
      </c>
      <c r="L230" s="175">
        <f t="shared" si="85"/>
        <v>0</v>
      </c>
      <c r="M230" s="175">
        <f t="shared" si="85"/>
        <v>0</v>
      </c>
      <c r="N230" s="175">
        <f t="shared" si="85"/>
        <v>0</v>
      </c>
    </row>
    <row r="231" hidden="1" spans="1:16">
      <c r="B231" s="175" t="s">
        <v>27</v>
      </c>
      <c r="C231" s="175">
        <f>D155</f>
        <v>0</v>
      </c>
      <c r="D231" s="175">
        <f t="shared" ref="D231:N231" si="86">E155</f>
        <v>0</v>
      </c>
      <c r="E231" s="175">
        <f t="shared" si="86"/>
        <v>0</v>
      </c>
      <c r="F231" s="175">
        <f t="shared" si="86"/>
        <v>0</v>
      </c>
      <c r="G231" s="175">
        <f t="shared" si="86"/>
        <v>0</v>
      </c>
      <c r="H231" s="175">
        <f t="shared" si="86"/>
        <v>0</v>
      </c>
      <c r="I231" s="175">
        <f t="shared" si="86"/>
        <v>0</v>
      </c>
      <c r="J231" s="175">
        <f t="shared" si="86"/>
        <v>0</v>
      </c>
      <c r="K231" s="175">
        <f t="shared" si="86"/>
        <v>0</v>
      </c>
      <c r="L231" s="175">
        <f t="shared" si="86"/>
        <v>0</v>
      </c>
      <c r="M231" s="175">
        <f t="shared" si="86"/>
        <v>0</v>
      </c>
      <c r="N231" s="175">
        <f t="shared" si="86"/>
        <v>0</v>
      </c>
    </row>
    <row r="232" hidden="1" spans="1:16">
      <c r="B232" s="175" t="s">
        <v>28</v>
      </c>
      <c r="C232" s="175">
        <f>D161</f>
        <v>0</v>
      </c>
      <c r="D232" s="175">
        <f t="shared" ref="D232:N232" si="87">E161</f>
        <v>0</v>
      </c>
      <c r="E232" s="175">
        <f t="shared" si="87"/>
        <v>0</v>
      </c>
      <c r="F232" s="175">
        <f t="shared" si="87"/>
        <v>0.5</v>
      </c>
      <c r="G232" s="175">
        <f t="shared" si="87"/>
        <v>0.5</v>
      </c>
      <c r="H232" s="175">
        <f t="shared" si="87"/>
        <v>0</v>
      </c>
      <c r="I232" s="175">
        <f t="shared" si="87"/>
        <v>0</v>
      </c>
      <c r="J232" s="175">
        <f t="shared" si="87"/>
        <v>0</v>
      </c>
      <c r="K232" s="175">
        <f t="shared" si="87"/>
        <v>0</v>
      </c>
      <c r="L232" s="175">
        <f t="shared" si="87"/>
        <v>0</v>
      </c>
      <c r="M232" s="175">
        <f t="shared" si="87"/>
        <v>0</v>
      </c>
      <c r="N232" s="175">
        <f t="shared" si="87"/>
        <v>0</v>
      </c>
    </row>
    <row r="233" hidden="1" spans="1:16">
      <c r="B233" s="175" t="s">
        <v>29</v>
      </c>
      <c r="C233" s="175">
        <f>D167</f>
        <v>1</v>
      </c>
      <c r="D233" s="175">
        <f t="shared" ref="D233:N233" si="88">E167</f>
        <v>0</v>
      </c>
      <c r="E233" s="175">
        <f t="shared" si="88"/>
        <v>0</v>
      </c>
      <c r="F233" s="175">
        <f t="shared" si="88"/>
        <v>0.5</v>
      </c>
      <c r="G233" s="175">
        <f t="shared" si="88"/>
        <v>0.5</v>
      </c>
      <c r="H233" s="175">
        <f t="shared" si="88"/>
        <v>0</v>
      </c>
      <c r="I233" s="175">
        <f t="shared" si="88"/>
        <v>0</v>
      </c>
      <c r="J233" s="175">
        <f t="shared" si="88"/>
        <v>0</v>
      </c>
      <c r="K233" s="175">
        <f t="shared" si="88"/>
        <v>0</v>
      </c>
      <c r="L233" s="175">
        <f t="shared" si="88"/>
        <v>0</v>
      </c>
      <c r="M233" s="175">
        <f t="shared" si="88"/>
        <v>0</v>
      </c>
      <c r="N233" s="175">
        <f t="shared" si="88"/>
        <v>0</v>
      </c>
    </row>
    <row r="234" hidden="1" spans="1:16">
      <c r="B234" s="175" t="s">
        <v>30</v>
      </c>
      <c r="C234" s="175">
        <f>D173</f>
        <v>1.5</v>
      </c>
      <c r="D234" s="175">
        <f t="shared" ref="D234:N234" si="89">E173</f>
        <v>1</v>
      </c>
      <c r="E234" s="175">
        <f t="shared" si="89"/>
        <v>1</v>
      </c>
      <c r="F234" s="175">
        <f t="shared" si="89"/>
        <v>0</v>
      </c>
      <c r="G234" s="175">
        <f t="shared" si="89"/>
        <v>0</v>
      </c>
      <c r="H234" s="175">
        <f t="shared" si="89"/>
        <v>1</v>
      </c>
      <c r="I234" s="175">
        <f t="shared" si="89"/>
        <v>0</v>
      </c>
      <c r="J234" s="175">
        <f t="shared" si="89"/>
        <v>0</v>
      </c>
      <c r="K234" s="175">
        <f t="shared" si="89"/>
        <v>0</v>
      </c>
      <c r="L234" s="175">
        <f t="shared" si="89"/>
        <v>0</v>
      </c>
      <c r="M234" s="175">
        <f t="shared" si="89"/>
        <v>0</v>
      </c>
      <c r="N234" s="175">
        <f t="shared" si="89"/>
        <v>0</v>
      </c>
    </row>
    <row r="235" hidden="1" spans="1:16">
      <c r="B235" s="175" t="s">
        <v>32</v>
      </c>
      <c r="C235" s="175">
        <f>D185</f>
        <v>0</v>
      </c>
      <c r="D235" s="175">
        <f t="shared" ref="D235:N235" si="90">E185</f>
        <v>0.5</v>
      </c>
      <c r="E235" s="175">
        <f t="shared" si="90"/>
        <v>0</v>
      </c>
      <c r="F235" s="175">
        <f t="shared" si="90"/>
        <v>1</v>
      </c>
      <c r="G235" s="175">
        <f t="shared" si="90"/>
        <v>1</v>
      </c>
      <c r="H235" s="175">
        <f t="shared" si="90"/>
        <v>1</v>
      </c>
      <c r="I235" s="175">
        <f t="shared" si="90"/>
        <v>0</v>
      </c>
      <c r="J235" s="175">
        <f t="shared" si="90"/>
        <v>0</v>
      </c>
      <c r="K235" s="175">
        <f t="shared" si="90"/>
        <v>0</v>
      </c>
      <c r="L235" s="175">
        <f t="shared" si="90"/>
        <v>0</v>
      </c>
      <c r="M235" s="175">
        <f t="shared" si="90"/>
        <v>0</v>
      </c>
      <c r="N235" s="175">
        <f t="shared" si="90"/>
        <v>0</v>
      </c>
    </row>
    <row r="236" hidden="1" spans="1:16">
      <c r="B236" s="175" t="s">
        <v>50</v>
      </c>
      <c r="C236" s="175">
        <f>D191</f>
        <v>0</v>
      </c>
      <c r="D236" s="175">
        <f t="shared" ref="D236:N236" si="91">E191</f>
        <v>0</v>
      </c>
      <c r="E236" s="175">
        <f t="shared" si="91"/>
        <v>0.5</v>
      </c>
      <c r="F236" s="175">
        <f t="shared" si="91"/>
        <v>0.5</v>
      </c>
      <c r="G236" s="175">
        <f t="shared" si="91"/>
        <v>0.5</v>
      </c>
      <c r="H236" s="175">
        <f t="shared" si="91"/>
        <v>0</v>
      </c>
      <c r="I236" s="175">
        <f t="shared" si="91"/>
        <v>0</v>
      </c>
      <c r="J236" s="175">
        <f t="shared" si="91"/>
        <v>0</v>
      </c>
      <c r="K236" s="175">
        <f t="shared" si="91"/>
        <v>0</v>
      </c>
      <c r="L236" s="175">
        <f t="shared" si="91"/>
        <v>0</v>
      </c>
      <c r="M236" s="175">
        <f t="shared" si="91"/>
        <v>0</v>
      </c>
      <c r="N236" s="175">
        <f t="shared" si="91"/>
        <v>0</v>
      </c>
    </row>
    <row r="237" hidden="1" spans="1:16">
      <c r="B237" s="175" t="s">
        <v>34</v>
      </c>
      <c r="C237" s="175">
        <f>D197</f>
        <v>1</v>
      </c>
      <c r="D237" s="175">
        <f t="shared" ref="D237:N237" si="92">E197</f>
        <v>0</v>
      </c>
      <c r="E237" s="175">
        <f t="shared" si="92"/>
        <v>0.5</v>
      </c>
      <c r="F237" s="175">
        <f t="shared" si="92"/>
        <v>1</v>
      </c>
      <c r="G237" s="175">
        <f t="shared" si="92"/>
        <v>0.5</v>
      </c>
      <c r="H237" s="175">
        <f t="shared" si="92"/>
        <v>0.5</v>
      </c>
      <c r="I237" s="175">
        <f t="shared" si="92"/>
        <v>0</v>
      </c>
      <c r="J237" s="175">
        <f t="shared" si="92"/>
        <v>0</v>
      </c>
      <c r="K237" s="175">
        <f t="shared" si="92"/>
        <v>0</v>
      </c>
      <c r="L237" s="175">
        <f t="shared" si="92"/>
        <v>0</v>
      </c>
      <c r="M237" s="175">
        <f t="shared" si="92"/>
        <v>0</v>
      </c>
      <c r="N237" s="175">
        <f t="shared" si="92"/>
        <v>0</v>
      </c>
    </row>
    <row r="238" hidden="1" spans="1:16">
      <c r="B238" s="175" t="s">
        <v>40</v>
      </c>
      <c r="C238" s="175">
        <f>D203</f>
        <v>0</v>
      </c>
      <c r="D238" s="175">
        <f t="shared" ref="D238:N238" si="93">E203</f>
        <v>1</v>
      </c>
      <c r="E238" s="175">
        <f t="shared" si="93"/>
        <v>0</v>
      </c>
      <c r="F238" s="175">
        <f t="shared" si="93"/>
        <v>0</v>
      </c>
      <c r="G238" s="175">
        <f t="shared" si="93"/>
        <v>0</v>
      </c>
      <c r="H238" s="175">
        <f t="shared" si="93"/>
        <v>0</v>
      </c>
      <c r="I238" s="175">
        <f t="shared" si="93"/>
        <v>0</v>
      </c>
      <c r="J238" s="175">
        <f t="shared" si="93"/>
        <v>0</v>
      </c>
      <c r="K238" s="175">
        <f t="shared" si="93"/>
        <v>0</v>
      </c>
      <c r="L238" s="175">
        <f t="shared" si="93"/>
        <v>0</v>
      </c>
      <c r="M238" s="175">
        <f t="shared" si="93"/>
        <v>0</v>
      </c>
      <c r="N238" s="175">
        <f t="shared" si="93"/>
        <v>0</v>
      </c>
    </row>
    <row r="239" hidden="1" spans="1:16">
      <c r="B239" s="175" t="s">
        <v>36</v>
      </c>
      <c r="C239" s="175">
        <f>D209</f>
        <v>2</v>
      </c>
      <c r="D239" s="175">
        <f t="shared" ref="D239:N239" si="94">E209</f>
        <v>0.5</v>
      </c>
      <c r="E239" s="175">
        <f t="shared" si="94"/>
        <v>0</v>
      </c>
      <c r="F239" s="175">
        <f t="shared" si="94"/>
        <v>0</v>
      </c>
      <c r="G239" s="175">
        <f t="shared" si="94"/>
        <v>0.5</v>
      </c>
      <c r="H239" s="175">
        <f t="shared" si="94"/>
        <v>0</v>
      </c>
      <c r="I239" s="175">
        <f t="shared" si="94"/>
        <v>0</v>
      </c>
      <c r="J239" s="175">
        <f t="shared" si="94"/>
        <v>0</v>
      </c>
      <c r="K239" s="175">
        <f t="shared" si="94"/>
        <v>0</v>
      </c>
      <c r="L239" s="175">
        <f t="shared" si="94"/>
        <v>0</v>
      </c>
      <c r="M239" s="175">
        <f t="shared" si="94"/>
        <v>0</v>
      </c>
      <c r="N239" s="175">
        <f t="shared" si="94"/>
        <v>0</v>
      </c>
    </row>
    <row r="240" hidden="1" spans="1:16">
      <c r="B240" s="175" t="s">
        <v>38</v>
      </c>
      <c r="C240" s="175">
        <f>D221</f>
        <v>2</v>
      </c>
      <c r="D240" s="175">
        <f t="shared" ref="D240:N240" si="95">E221</f>
        <v>0</v>
      </c>
      <c r="E240" s="175">
        <f t="shared" si="95"/>
        <v>1</v>
      </c>
      <c r="F240" s="175">
        <f t="shared" si="95"/>
        <v>0.5</v>
      </c>
      <c r="G240" s="175">
        <f t="shared" si="95"/>
        <v>0</v>
      </c>
      <c r="H240" s="175">
        <f t="shared" si="95"/>
        <v>0.5</v>
      </c>
      <c r="I240" s="175">
        <f t="shared" si="95"/>
        <v>0</v>
      </c>
      <c r="J240" s="175">
        <f t="shared" si="95"/>
        <v>0</v>
      </c>
      <c r="K240" s="175">
        <f t="shared" si="95"/>
        <v>0</v>
      </c>
      <c r="L240" s="175">
        <f t="shared" si="95"/>
        <v>0</v>
      </c>
      <c r="M240" s="175">
        <f t="shared" si="95"/>
        <v>0</v>
      </c>
      <c r="N240" s="175">
        <f t="shared" si="95"/>
        <v>0</v>
      </c>
    </row>
    <row r="241" hidden="1" spans="2:14">
      <c r="B241"/>
    </row>
    <row r="242" hidden="1" spans="2:14">
      <c r="B242">
        <v>2</v>
      </c>
    </row>
    <row r="243" hidden="1" spans="2:14">
      <c r="B243" s="175" t="s">
        <v>51</v>
      </c>
      <c r="C243" s="175" t="s">
        <v>5</v>
      </c>
      <c r="D243" s="176" t="s">
        <v>6</v>
      </c>
      <c r="E243" s="176" t="s">
        <v>7</v>
      </c>
      <c r="F243" s="175" t="s">
        <v>8</v>
      </c>
      <c r="G243" s="176" t="s">
        <v>9</v>
      </c>
      <c r="H243" s="176" t="s">
        <v>10</v>
      </c>
      <c r="I243" s="175" t="s">
        <v>11</v>
      </c>
      <c r="J243" s="177" t="s">
        <v>12</v>
      </c>
      <c r="K243" s="175" t="s">
        <v>13</v>
      </c>
      <c r="L243" s="175" t="s">
        <v>14</v>
      </c>
      <c r="M243" s="177" t="s">
        <v>15</v>
      </c>
      <c r="N243" s="177" t="s">
        <v>16</v>
      </c>
    </row>
    <row r="244" hidden="1" spans="2:14">
      <c r="B244" t="str" cm="1">
        <f t="array" ref="B244">INDEX(B228:B240,$B$242)</f>
        <v>刘虹晶</v>
      </c>
      <c r="C244" s="207" cm="1">
        <f t="array" ref="C244:N244">_xlfn._xlws.FILTER(C228:N240,B228:B240=B244)</f>
        <v>2</v>
      </c>
      <c r="D244" s="207">
        <v>1</v>
      </c>
      <c r="E244" s="207">
        <v>0.5</v>
      </c>
      <c r="F244" s="207">
        <v>0.5</v>
      </c>
      <c r="G244" s="207">
        <v>1</v>
      </c>
      <c r="H244" s="207">
        <v>1</v>
      </c>
      <c r="I244" s="207">
        <v>0</v>
      </c>
      <c r="J244" s="207">
        <v>0</v>
      </c>
      <c r="K244" s="207">
        <v>0</v>
      </c>
      <c r="L244" s="207">
        <v>0</v>
      </c>
      <c r="M244" s="207">
        <v>0</v>
      </c>
      <c r="N244" s="207">
        <v>0</v>
      </c>
    </row>
    <row r="245" hidden="1" spans="2:14">
      <c r="B245"/>
      <c r="C245" s="207"/>
      <c r="D245" s="207"/>
      <c r="E245" s="207"/>
      <c r="F245" s="207"/>
      <c r="G245" s="207"/>
      <c r="H245" s="207"/>
      <c r="I245" s="207"/>
      <c r="J245" s="207"/>
      <c r="K245" s="207"/>
      <c r="L245" s="207"/>
      <c r="M245" s="207"/>
      <c r="N245" s="207"/>
    </row>
    <row r="246" hidden="1" spans="2:14">
      <c r="B246"/>
      <c r="C246" s="207"/>
      <c r="D246" s="207"/>
      <c r="E246" s="207"/>
      <c r="F246" s="207"/>
      <c r="G246" s="207"/>
      <c r="H246" s="207"/>
      <c r="I246" s="207"/>
      <c r="J246" s="207"/>
      <c r="K246" s="207"/>
      <c r="L246" s="207"/>
      <c r="M246" s="207"/>
      <c r="N246" s="207"/>
    </row>
    <row r="247" hidden="1" spans="2:14">
      <c r="B247" s="175" t="s">
        <v>52</v>
      </c>
      <c r="C247" s="175" t="s">
        <v>5</v>
      </c>
      <c r="D247" s="176" t="s">
        <v>6</v>
      </c>
      <c r="E247" s="176" t="s">
        <v>7</v>
      </c>
      <c r="F247" s="175" t="s">
        <v>8</v>
      </c>
      <c r="G247" s="176" t="s">
        <v>9</v>
      </c>
      <c r="H247" s="176" t="s">
        <v>10</v>
      </c>
      <c r="I247" s="175" t="s">
        <v>11</v>
      </c>
      <c r="J247" s="177" t="s">
        <v>12</v>
      </c>
      <c r="K247" s="175" t="s">
        <v>13</v>
      </c>
      <c r="L247" s="175" t="s">
        <v>14</v>
      </c>
      <c r="M247" s="177" t="s">
        <v>15</v>
      </c>
      <c r="N247" s="177" t="s">
        <v>16</v>
      </c>
    </row>
    <row r="248" hidden="1" spans="2:14">
      <c r="B248" s="175" t="s">
        <v>24</v>
      </c>
      <c r="C248" s="207">
        <f>D140</f>
        <v>0</v>
      </c>
      <c r="D248" s="207">
        <f t="shared" ref="D248:N248" si="96">E140</f>
        <v>0</v>
      </c>
      <c r="E248" s="207">
        <f t="shared" si="96"/>
        <v>0</v>
      </c>
      <c r="F248" s="207">
        <f t="shared" si="96"/>
        <v>0</v>
      </c>
      <c r="G248" s="207">
        <f t="shared" si="96"/>
        <v>0</v>
      </c>
      <c r="H248" s="207">
        <f t="shared" si="96"/>
        <v>0</v>
      </c>
      <c r="I248" s="207">
        <f t="shared" si="96"/>
        <v>0</v>
      </c>
      <c r="J248" s="207">
        <f t="shared" si="96"/>
        <v>0</v>
      </c>
      <c r="K248" s="207">
        <f t="shared" si="96"/>
        <v>0</v>
      </c>
      <c r="L248" s="207">
        <f t="shared" si="96"/>
        <v>0</v>
      </c>
      <c r="M248" s="207">
        <f t="shared" si="96"/>
        <v>0</v>
      </c>
      <c r="N248" s="207">
        <f t="shared" si="96"/>
        <v>0</v>
      </c>
    </row>
    <row r="249" hidden="1" spans="2:14">
      <c r="B249" s="175" t="s">
        <v>25</v>
      </c>
      <c r="C249" s="207">
        <f>D146</f>
        <v>0</v>
      </c>
      <c r="D249" s="207">
        <f t="shared" ref="D249:N249" si="97">E146</f>
        <v>0</v>
      </c>
      <c r="E249" s="207">
        <f t="shared" si="97"/>
        <v>0</v>
      </c>
      <c r="F249" s="207">
        <f t="shared" si="97"/>
        <v>0</v>
      </c>
      <c r="G249" s="207">
        <f t="shared" si="97"/>
        <v>0</v>
      </c>
      <c r="H249" s="207">
        <f t="shared" si="97"/>
        <v>0</v>
      </c>
      <c r="I249" s="207">
        <f t="shared" si="97"/>
        <v>0</v>
      </c>
      <c r="J249" s="207">
        <f t="shared" si="97"/>
        <v>0</v>
      </c>
      <c r="K249" s="207">
        <f t="shared" si="97"/>
        <v>0</v>
      </c>
      <c r="L249" s="207">
        <f t="shared" si="97"/>
        <v>0</v>
      </c>
      <c r="M249" s="207">
        <f t="shared" si="97"/>
        <v>0</v>
      </c>
      <c r="N249" s="207">
        <f t="shared" si="97"/>
        <v>0</v>
      </c>
    </row>
    <row r="250" hidden="1" spans="2:14">
      <c r="B250" s="175" t="s">
        <v>26</v>
      </c>
      <c r="C250" s="175">
        <f>D152</f>
        <v>0</v>
      </c>
      <c r="D250" s="175">
        <f t="shared" ref="D250:N250" si="98">E152</f>
        <v>0</v>
      </c>
      <c r="E250" s="175">
        <f t="shared" si="98"/>
        <v>0</v>
      </c>
      <c r="F250" s="175">
        <f t="shared" si="98"/>
        <v>0</v>
      </c>
      <c r="G250" s="175">
        <f t="shared" si="98"/>
        <v>0</v>
      </c>
      <c r="H250" s="175">
        <f t="shared" si="98"/>
        <v>0</v>
      </c>
      <c r="I250" s="175">
        <f t="shared" si="98"/>
        <v>0</v>
      </c>
      <c r="J250" s="175">
        <f t="shared" si="98"/>
        <v>0</v>
      </c>
      <c r="K250" s="175">
        <f t="shared" si="98"/>
        <v>0</v>
      </c>
      <c r="L250" s="175">
        <f t="shared" si="98"/>
        <v>0</v>
      </c>
      <c r="M250" s="175">
        <f t="shared" si="98"/>
        <v>0</v>
      </c>
      <c r="N250" s="175">
        <f t="shared" si="98"/>
        <v>0</v>
      </c>
    </row>
    <row r="251" hidden="1" spans="2:14">
      <c r="B251" s="175" t="s">
        <v>27</v>
      </c>
      <c r="C251" s="175">
        <f>D158</f>
        <v>0</v>
      </c>
      <c r="D251" s="175">
        <f t="shared" ref="D251:N251" si="99">E158</f>
        <v>0</v>
      </c>
      <c r="E251" s="175">
        <f t="shared" si="99"/>
        <v>0</v>
      </c>
      <c r="F251" s="175">
        <f t="shared" si="99"/>
        <v>0</v>
      </c>
      <c r="G251" s="175">
        <f t="shared" si="99"/>
        <v>0</v>
      </c>
      <c r="H251" s="175">
        <f t="shared" si="99"/>
        <v>0</v>
      </c>
      <c r="I251" s="175">
        <f t="shared" si="99"/>
        <v>0</v>
      </c>
      <c r="J251" s="175">
        <f t="shared" si="99"/>
        <v>0</v>
      </c>
      <c r="K251" s="175">
        <f t="shared" si="99"/>
        <v>0</v>
      </c>
      <c r="L251" s="175">
        <f t="shared" si="99"/>
        <v>0</v>
      </c>
      <c r="M251" s="175">
        <f t="shared" si="99"/>
        <v>0</v>
      </c>
      <c r="N251" s="175">
        <f t="shared" si="99"/>
        <v>0</v>
      </c>
    </row>
    <row r="252" hidden="1" spans="2:14">
      <c r="B252" s="175" t="s">
        <v>28</v>
      </c>
      <c r="C252" s="175">
        <f>D164</f>
        <v>0</v>
      </c>
      <c r="D252" s="175">
        <f t="shared" ref="D252:N252" si="100">E164</f>
        <v>0</v>
      </c>
      <c r="E252" s="175">
        <f t="shared" si="100"/>
        <v>0</v>
      </c>
      <c r="F252" s="175">
        <f t="shared" si="100"/>
        <v>0</v>
      </c>
      <c r="G252" s="175">
        <f t="shared" si="100"/>
        <v>0</v>
      </c>
      <c r="H252" s="175">
        <f t="shared" si="100"/>
        <v>0</v>
      </c>
      <c r="I252" s="175">
        <f t="shared" si="100"/>
        <v>0</v>
      </c>
      <c r="J252" s="175">
        <f t="shared" si="100"/>
        <v>0</v>
      </c>
      <c r="K252" s="175">
        <f t="shared" si="100"/>
        <v>0</v>
      </c>
      <c r="L252" s="175">
        <f t="shared" si="100"/>
        <v>0</v>
      </c>
      <c r="M252" s="175">
        <f t="shared" si="100"/>
        <v>0</v>
      </c>
      <c r="N252" s="175">
        <f t="shared" si="100"/>
        <v>0</v>
      </c>
    </row>
    <row r="253" hidden="1" spans="2:14">
      <c r="B253" s="175" t="s">
        <v>29</v>
      </c>
      <c r="C253" s="175">
        <f>D170</f>
        <v>0</v>
      </c>
      <c r="D253" s="175">
        <f t="shared" ref="D253:N253" si="101">E170</f>
        <v>0</v>
      </c>
      <c r="E253" s="175">
        <f t="shared" si="101"/>
        <v>0</v>
      </c>
      <c r="F253" s="175">
        <f t="shared" si="101"/>
        <v>0</v>
      </c>
      <c r="G253" s="175">
        <f t="shared" si="101"/>
        <v>0</v>
      </c>
      <c r="H253" s="175">
        <f t="shared" si="101"/>
        <v>0</v>
      </c>
      <c r="I253" s="175">
        <f t="shared" si="101"/>
        <v>0</v>
      </c>
      <c r="J253" s="175">
        <f t="shared" si="101"/>
        <v>0</v>
      </c>
      <c r="K253" s="175">
        <f t="shared" si="101"/>
        <v>0</v>
      </c>
      <c r="L253" s="175">
        <f t="shared" si="101"/>
        <v>0</v>
      </c>
      <c r="M253" s="175">
        <f t="shared" si="101"/>
        <v>0</v>
      </c>
      <c r="N253" s="175">
        <f t="shared" si="101"/>
        <v>0</v>
      </c>
    </row>
    <row r="254" hidden="1" spans="2:14">
      <c r="B254" s="175" t="s">
        <v>30</v>
      </c>
      <c r="C254" s="175">
        <f>D176</f>
        <v>0</v>
      </c>
      <c r="D254" s="175">
        <f t="shared" ref="D254:N254" si="102">E176</f>
        <v>0</v>
      </c>
      <c r="E254" s="175">
        <f t="shared" si="102"/>
        <v>0</v>
      </c>
      <c r="F254" s="175">
        <f t="shared" si="102"/>
        <v>0</v>
      </c>
      <c r="G254" s="175">
        <f t="shared" si="102"/>
        <v>0</v>
      </c>
      <c r="H254" s="175">
        <f t="shared" si="102"/>
        <v>0</v>
      </c>
      <c r="I254" s="175">
        <f t="shared" si="102"/>
        <v>0</v>
      </c>
      <c r="J254" s="175">
        <f t="shared" si="102"/>
        <v>0</v>
      </c>
      <c r="K254" s="175">
        <f t="shared" si="102"/>
        <v>0</v>
      </c>
      <c r="L254" s="175">
        <f t="shared" si="102"/>
        <v>0</v>
      </c>
      <c r="M254" s="175">
        <f t="shared" si="102"/>
        <v>0</v>
      </c>
      <c r="N254" s="175">
        <f t="shared" si="102"/>
        <v>0</v>
      </c>
    </row>
    <row r="255" hidden="1" spans="2:14">
      <c r="B255" s="175" t="s">
        <v>32</v>
      </c>
      <c r="C255" s="175">
        <f>D188</f>
        <v>0</v>
      </c>
      <c r="D255" s="175">
        <f t="shared" ref="D255:N255" si="103">E188</f>
        <v>0</v>
      </c>
      <c r="E255" s="175">
        <f t="shared" si="103"/>
        <v>0</v>
      </c>
      <c r="F255" s="175">
        <f t="shared" si="103"/>
        <v>0</v>
      </c>
      <c r="G255" s="175">
        <f t="shared" si="103"/>
        <v>0</v>
      </c>
      <c r="H255" s="175">
        <f t="shared" si="103"/>
        <v>0</v>
      </c>
      <c r="I255" s="175">
        <f t="shared" si="103"/>
        <v>0</v>
      </c>
      <c r="J255" s="175">
        <f t="shared" si="103"/>
        <v>0</v>
      </c>
      <c r="K255" s="175">
        <f t="shared" si="103"/>
        <v>0</v>
      </c>
      <c r="L255" s="175">
        <f t="shared" si="103"/>
        <v>0</v>
      </c>
      <c r="M255" s="175">
        <f t="shared" si="103"/>
        <v>0</v>
      </c>
      <c r="N255" s="175">
        <f t="shared" si="103"/>
        <v>0</v>
      </c>
    </row>
    <row r="256" hidden="1" spans="2:14">
      <c r="B256" s="175" t="s">
        <v>50</v>
      </c>
      <c r="C256" s="175">
        <f>D194</f>
        <v>0</v>
      </c>
      <c r="D256" s="175">
        <f t="shared" ref="D256:N256" si="104">E194</f>
        <v>0</v>
      </c>
      <c r="E256" s="175">
        <f t="shared" si="104"/>
        <v>0</v>
      </c>
      <c r="F256" s="175">
        <f t="shared" si="104"/>
        <v>0</v>
      </c>
      <c r="G256" s="175">
        <f t="shared" si="104"/>
        <v>0</v>
      </c>
      <c r="H256" s="175">
        <f t="shared" si="104"/>
        <v>0</v>
      </c>
      <c r="I256" s="175">
        <f t="shared" si="104"/>
        <v>0</v>
      </c>
      <c r="J256" s="175">
        <f t="shared" si="104"/>
        <v>0</v>
      </c>
      <c r="K256" s="175">
        <f t="shared" si="104"/>
        <v>0</v>
      </c>
      <c r="L256" s="175">
        <f t="shared" si="104"/>
        <v>0</v>
      </c>
      <c r="M256" s="175">
        <f t="shared" si="104"/>
        <v>0</v>
      </c>
      <c r="N256" s="175">
        <f t="shared" si="104"/>
        <v>0</v>
      </c>
    </row>
    <row r="257" hidden="1" spans="2:14">
      <c r="B257" s="175" t="s">
        <v>34</v>
      </c>
      <c r="C257" s="175">
        <f>D200</f>
        <v>0</v>
      </c>
      <c r="D257" s="175">
        <f t="shared" ref="D257:N257" si="105">E200</f>
        <v>0</v>
      </c>
      <c r="E257" s="175">
        <f t="shared" si="105"/>
        <v>0</v>
      </c>
      <c r="F257" s="175">
        <f t="shared" si="105"/>
        <v>0</v>
      </c>
      <c r="G257" s="175">
        <f t="shared" si="105"/>
        <v>0</v>
      </c>
      <c r="H257" s="175">
        <f t="shared" si="105"/>
        <v>0</v>
      </c>
      <c r="I257" s="175">
        <f t="shared" si="105"/>
        <v>0</v>
      </c>
      <c r="J257" s="175">
        <f t="shared" si="105"/>
        <v>0</v>
      </c>
      <c r="K257" s="175">
        <f t="shared" si="105"/>
        <v>0</v>
      </c>
      <c r="L257" s="175">
        <f t="shared" si="105"/>
        <v>0</v>
      </c>
      <c r="M257" s="175">
        <f t="shared" si="105"/>
        <v>0</v>
      </c>
      <c r="N257" s="175">
        <f t="shared" si="105"/>
        <v>0</v>
      </c>
    </row>
    <row r="258" hidden="1" spans="2:14">
      <c r="B258" s="175" t="s">
        <v>40</v>
      </c>
      <c r="C258" s="175">
        <f>D206</f>
        <v>0</v>
      </c>
      <c r="D258" s="175">
        <f t="shared" ref="D258:N258" si="106">E206</f>
        <v>0</v>
      </c>
      <c r="E258" s="175">
        <f t="shared" si="106"/>
        <v>0</v>
      </c>
      <c r="F258" s="175">
        <f t="shared" si="106"/>
        <v>0</v>
      </c>
      <c r="G258" s="175">
        <f t="shared" si="106"/>
        <v>0</v>
      </c>
      <c r="H258" s="175">
        <f t="shared" si="106"/>
        <v>0</v>
      </c>
      <c r="I258" s="175">
        <f t="shared" si="106"/>
        <v>0</v>
      </c>
      <c r="J258" s="175">
        <f t="shared" si="106"/>
        <v>0</v>
      </c>
      <c r="K258" s="175">
        <f t="shared" si="106"/>
        <v>0</v>
      </c>
      <c r="L258" s="175">
        <f t="shared" si="106"/>
        <v>0</v>
      </c>
      <c r="M258" s="175">
        <f t="shared" si="106"/>
        <v>0</v>
      </c>
      <c r="N258" s="175">
        <f t="shared" si="106"/>
        <v>0</v>
      </c>
    </row>
    <row r="259" hidden="1" spans="2:14">
      <c r="B259" s="175" t="s">
        <v>36</v>
      </c>
      <c r="C259" s="175">
        <f>D212</f>
        <v>0</v>
      </c>
      <c r="D259" s="175">
        <f t="shared" ref="D259:N259" si="107">E212</f>
        <v>0</v>
      </c>
      <c r="E259" s="175">
        <f t="shared" si="107"/>
        <v>0</v>
      </c>
      <c r="F259" s="175">
        <f t="shared" si="107"/>
        <v>0</v>
      </c>
      <c r="G259" s="175">
        <f t="shared" si="107"/>
        <v>0</v>
      </c>
      <c r="H259" s="175">
        <f t="shared" si="107"/>
        <v>0</v>
      </c>
      <c r="I259" s="175">
        <f t="shared" si="107"/>
        <v>0</v>
      </c>
      <c r="J259" s="175">
        <f t="shared" si="107"/>
        <v>0</v>
      </c>
      <c r="K259" s="175">
        <f t="shared" si="107"/>
        <v>0</v>
      </c>
      <c r="L259" s="175">
        <f t="shared" si="107"/>
        <v>0</v>
      </c>
      <c r="M259" s="175">
        <f t="shared" si="107"/>
        <v>0</v>
      </c>
      <c r="N259" s="175">
        <f t="shared" si="107"/>
        <v>0</v>
      </c>
    </row>
    <row r="260" hidden="1" spans="2:14">
      <c r="B260" s="175" t="s">
        <v>38</v>
      </c>
      <c r="C260" s="175">
        <f>D224</f>
        <v>0</v>
      </c>
      <c r="D260" s="175">
        <f t="shared" ref="D260:N260" si="108">E224</f>
        <v>0</v>
      </c>
      <c r="E260" s="175">
        <f t="shared" si="108"/>
        <v>0</v>
      </c>
      <c r="F260" s="175">
        <f t="shared" si="108"/>
        <v>0</v>
      </c>
      <c r="G260" s="175">
        <f t="shared" si="108"/>
        <v>0</v>
      </c>
      <c r="H260" s="175">
        <f t="shared" si="108"/>
        <v>0</v>
      </c>
      <c r="I260" s="175">
        <f t="shared" si="108"/>
        <v>0</v>
      </c>
      <c r="J260" s="175">
        <f t="shared" si="108"/>
        <v>0</v>
      </c>
      <c r="K260" s="175">
        <f t="shared" si="108"/>
        <v>0</v>
      </c>
      <c r="L260" s="175">
        <f t="shared" si="108"/>
        <v>0</v>
      </c>
      <c r="M260" s="175">
        <f t="shared" si="108"/>
        <v>0</v>
      </c>
      <c r="N260" s="175">
        <f t="shared" si="108"/>
        <v>0</v>
      </c>
    </row>
    <row r="261" hidden="1" spans="2:14">
      <c r="B261">
        <v>2</v>
      </c>
    </row>
    <row r="262" hidden="1" spans="2:14">
      <c r="B262" s="175" t="s">
        <v>52</v>
      </c>
      <c r="C262" s="175" t="s">
        <v>5</v>
      </c>
      <c r="D262" s="176" t="s">
        <v>6</v>
      </c>
      <c r="E262" s="176" t="s">
        <v>7</v>
      </c>
      <c r="F262" s="175" t="s">
        <v>8</v>
      </c>
      <c r="G262" s="176" t="s">
        <v>9</v>
      </c>
      <c r="H262" s="176" t="s">
        <v>10</v>
      </c>
      <c r="I262" s="175" t="s">
        <v>11</v>
      </c>
      <c r="J262" s="177" t="s">
        <v>12</v>
      </c>
      <c r="K262" s="175" t="s">
        <v>13</v>
      </c>
      <c r="L262" s="175" t="s">
        <v>14</v>
      </c>
      <c r="M262" s="177" t="s">
        <v>15</v>
      </c>
      <c r="N262" s="177" t="s">
        <v>16</v>
      </c>
    </row>
    <row r="263" hidden="1" spans="2:14">
      <c r="B263" t="str" cm="1">
        <f t="array" ref="B263">INDEX(B248:B260,$B$261)</f>
        <v>刘虹晶</v>
      </c>
      <c r="C263" s="175" cm="1">
        <f t="array" ref="C263:N263">_xlfn._xlws.FILTER(C248:N260,B248:B260=B263)</f>
        <v>0</v>
      </c>
      <c r="D263" s="176">
        <v>0</v>
      </c>
      <c r="E263" s="176">
        <v>0</v>
      </c>
      <c r="F263" s="175">
        <v>0</v>
      </c>
      <c r="G263" s="176">
        <v>0</v>
      </c>
      <c r="H263" s="176">
        <v>0</v>
      </c>
      <c r="I263" s="175">
        <v>0</v>
      </c>
      <c r="J263" s="177">
        <v>0</v>
      </c>
      <c r="K263" s="175">
        <v>0</v>
      </c>
      <c r="L263" s="175">
        <v>0</v>
      </c>
      <c r="M263" s="177">
        <v>0</v>
      </c>
      <c r="N263" s="177">
        <v>0</v>
      </c>
    </row>
    <row r="264" spans="2:14">
      <c r="B264"/>
    </row>
    <row r="265" spans="2:14">
      <c r="B265"/>
    </row>
    <row r="266" spans="2:14">
      <c r="B266"/>
    </row>
    <row r="267" spans="2:14">
      <c r="B267"/>
    </row>
    <row r="268" spans="2:14">
      <c r="B268"/>
    </row>
    <row r="269" spans="2:14">
      <c r="B269"/>
    </row>
    <row r="270" spans="2:14">
      <c r="B270"/>
    </row>
    <row r="271" spans="2:14">
      <c r="B271"/>
    </row>
    <row r="272" spans="2:14">
      <c r="B272"/>
    </row>
    <row r="273" spans="2:2">
      <c r="B273"/>
    </row>
    <row r="274" spans="2:2">
      <c r="B274"/>
    </row>
    <row r="275" spans="2:2">
      <c r="B275"/>
    </row>
    <row r="276" spans="2:2">
      <c r="B276"/>
    </row>
    <row r="277" spans="2:2">
      <c r="B277"/>
    </row>
    <row r="278" spans="2:2">
      <c r="B278"/>
    </row>
    <row r="279" spans="2:2">
      <c r="B279"/>
    </row>
    <row r="280" spans="2:2">
      <c r="B280"/>
    </row>
    <row r="281" spans="2:2">
      <c r="B281"/>
    </row>
    <row r="282" spans="2:2">
      <c r="B282"/>
    </row>
    <row r="283" spans="2:2">
      <c r="B283"/>
    </row>
    <row r="284" spans="2:2">
      <c r="B284"/>
    </row>
    <row r="285" spans="2:2">
      <c r="B285"/>
    </row>
    <row r="286" spans="2:2">
      <c r="B286"/>
    </row>
    <row r="287" spans="2:2">
      <c r="B287"/>
    </row>
    <row r="288" spans="2:2">
      <c r="B288"/>
    </row>
    <row r="289" spans="2:2">
      <c r="B289"/>
    </row>
    <row r="290" spans="2:2">
      <c r="B290"/>
    </row>
    <row r="291" spans="2:2">
      <c r="B291"/>
    </row>
    <row r="292" spans="2:2">
      <c r="B292"/>
    </row>
    <row r="293" spans="2:2">
      <c r="B293"/>
    </row>
    <row r="294" spans="2:2">
      <c r="B294"/>
    </row>
    <row r="295" spans="2:2">
      <c r="B295"/>
    </row>
  </sheetData>
  <autoFilter xmlns:etc="http://www.wps.cn/officeDocument/2017/etCustomData" ref="A135:AD225" etc:filterBottomFollowUsedRange="0">
    <extLst/>
  </autoFilter>
  <mergeCells count="72">
    <mergeCell ref="A1:P1"/>
    <mergeCell ref="A2:P2"/>
    <mergeCell ref="A3:E3"/>
    <mergeCell ref="A4:B4"/>
    <mergeCell ref="A20:E20"/>
    <mergeCell ref="A21:B21"/>
    <mergeCell ref="A97:E97"/>
    <mergeCell ref="A98:B98"/>
    <mergeCell ref="A134:E134"/>
    <mergeCell ref="A136:A141"/>
    <mergeCell ref="A142:A147"/>
    <mergeCell ref="A148:A153"/>
    <mergeCell ref="A154:A159"/>
    <mergeCell ref="A160:A165"/>
    <mergeCell ref="A166:A171"/>
    <mergeCell ref="A172:A177"/>
    <mergeCell ref="A178:A183"/>
    <mergeCell ref="A184:A189"/>
    <mergeCell ref="A190:A195"/>
    <mergeCell ref="A196:A201"/>
    <mergeCell ref="A202:A207"/>
    <mergeCell ref="A208:A213"/>
    <mergeCell ref="A214:A219"/>
    <mergeCell ref="A220:A225"/>
    <mergeCell ref="B136:B138"/>
    <mergeCell ref="B139:B141"/>
    <mergeCell ref="B142:B144"/>
    <mergeCell ref="B145:B147"/>
    <mergeCell ref="B148:B150"/>
    <mergeCell ref="B151:B153"/>
    <mergeCell ref="B154:B156"/>
    <mergeCell ref="B157:B159"/>
    <mergeCell ref="B160:B162"/>
    <mergeCell ref="B163:B165"/>
    <mergeCell ref="B166:B168"/>
    <mergeCell ref="B169:B171"/>
    <mergeCell ref="B172:B174"/>
    <mergeCell ref="B175:B177"/>
    <mergeCell ref="B178:B180"/>
    <mergeCell ref="B181:B183"/>
    <mergeCell ref="B184:B186"/>
    <mergeCell ref="B187:B189"/>
    <mergeCell ref="B190:B192"/>
    <mergeCell ref="B193:B195"/>
    <mergeCell ref="B196:B198"/>
    <mergeCell ref="B199:B201"/>
    <mergeCell ref="B202:B204"/>
    <mergeCell ref="B205:B207"/>
    <mergeCell ref="B208:B210"/>
    <mergeCell ref="B211:B213"/>
    <mergeCell ref="B214:B216"/>
    <mergeCell ref="B217:B219"/>
    <mergeCell ref="B220:B222"/>
    <mergeCell ref="B223:B225"/>
    <mergeCell ref="A5:B7"/>
    <mergeCell ref="A22:B24"/>
    <mergeCell ref="A25:B27"/>
    <mergeCell ref="A28:B30"/>
    <mergeCell ref="A31:B33"/>
    <mergeCell ref="A37:B39"/>
    <mergeCell ref="A40:B42"/>
    <mergeCell ref="A46:B48"/>
    <mergeCell ref="A49:B51"/>
    <mergeCell ref="A52:B54"/>
    <mergeCell ref="A55:B57"/>
    <mergeCell ref="A58:B60"/>
    <mergeCell ref="A34:B36"/>
    <mergeCell ref="A61:B63"/>
    <mergeCell ref="A99:B101"/>
    <mergeCell ref="A64:B66"/>
    <mergeCell ref="A102:B104"/>
    <mergeCell ref="A43:B45"/>
  </mergeCells>
  <conditionalFormatting sqref="D7:P7">
    <cfRule type="cellIs" dxfId="0" priority="22" operator="greaterThanOrEqual">
      <formula>1</formula>
    </cfRule>
  </conditionalFormatting>
  <conditionalFormatting sqref="D36:P36">
    <cfRule type="cellIs" dxfId="0" priority="20" operator="greaterThanOrEqual">
      <formula>1</formula>
    </cfRule>
  </conditionalFormatting>
  <conditionalFormatting sqref="I45:O45">
    <cfRule type="cellIs" dxfId="0" priority="12" operator="greaterThanOrEqual">
      <formula>1</formula>
    </cfRule>
  </conditionalFormatting>
  <conditionalFormatting sqref="P45">
    <cfRule type="cellIs" dxfId="0" priority="10" operator="greaterThanOrEqual">
      <formula>1</formula>
    </cfRule>
  </conditionalFormatting>
  <conditionalFormatting sqref="I63:O63">
    <cfRule type="cellIs" dxfId="0" priority="11" operator="greaterThanOrEqual">
      <formula>1</formula>
    </cfRule>
  </conditionalFormatting>
  <conditionalFormatting sqref="P63">
    <cfRule type="cellIs" dxfId="0" priority="9" operator="greaterThanOrEqual">
      <formula>1</formula>
    </cfRule>
  </conditionalFormatting>
  <conditionalFormatting sqref="D66:P66">
    <cfRule type="cellIs" dxfId="0" priority="46" operator="greaterThanOrEqual">
      <formula>1</formula>
    </cfRule>
  </conditionalFormatting>
  <conditionalFormatting sqref="N66">
    <cfRule type="cellIs" dxfId="0" priority="79" operator="greaterThanOrEqual">
      <formula>1</formula>
    </cfRule>
  </conditionalFormatting>
  <conditionalFormatting sqref="N67">
    <cfRule type="cellIs" dxfId="0" priority="105" operator="greaterThanOrEqual">
      <formula>1</formula>
    </cfRule>
  </conditionalFormatting>
  <conditionalFormatting sqref="N101">
    <cfRule type="cellIs" dxfId="0" priority="103" operator="greaterThanOrEqual">
      <formula>1</formula>
    </cfRule>
  </conditionalFormatting>
  <conditionalFormatting sqref="N103">
    <cfRule type="cellIs" dxfId="0" priority="13" operator="greaterThanOrEqual">
      <formula>1</formula>
    </cfRule>
  </conditionalFormatting>
  <conditionalFormatting sqref="N146">
    <cfRule type="cellIs" dxfId="0" priority="97" operator="greaterThanOrEqual">
      <formula>1</formula>
    </cfRule>
  </conditionalFormatting>
  <conditionalFormatting sqref="N147">
    <cfRule type="cellIs" dxfId="0" priority="43" operator="greaterThanOrEqual">
      <formula>1</formula>
    </cfRule>
  </conditionalFormatting>
  <conditionalFormatting sqref="N152">
    <cfRule type="cellIs" dxfId="0" priority="74" operator="greaterThanOrEqual">
      <formula>1</formula>
    </cfRule>
  </conditionalFormatting>
  <conditionalFormatting sqref="N153">
    <cfRule type="cellIs" dxfId="0" priority="41" operator="greaterThanOrEqual">
      <formula>1</formula>
    </cfRule>
  </conditionalFormatting>
  <conditionalFormatting sqref="N158">
    <cfRule type="cellIs" dxfId="0" priority="71" operator="greaterThanOrEqual">
      <formula>1</formula>
    </cfRule>
  </conditionalFormatting>
  <conditionalFormatting sqref="N159">
    <cfRule type="cellIs" dxfId="0" priority="39" operator="greaterThanOrEqual">
      <formula>1</formula>
    </cfRule>
  </conditionalFormatting>
  <conditionalFormatting sqref="N164">
    <cfRule type="cellIs" dxfId="0" priority="17" operator="greaterThanOrEqual">
      <formula>1</formula>
    </cfRule>
  </conditionalFormatting>
  <conditionalFormatting sqref="N165">
    <cfRule type="cellIs" dxfId="0" priority="15" operator="greaterThanOrEqual">
      <formula>1</formula>
    </cfRule>
  </conditionalFormatting>
  <conditionalFormatting sqref="N170">
    <cfRule type="cellIs" dxfId="0" priority="68" operator="greaterThanOrEqual">
      <formula>1</formula>
    </cfRule>
  </conditionalFormatting>
  <conditionalFormatting sqref="N171">
    <cfRule type="cellIs" dxfId="0" priority="37" operator="greaterThanOrEqual">
      <formula>1</formula>
    </cfRule>
  </conditionalFormatting>
  <conditionalFormatting sqref="N176">
    <cfRule type="cellIs" dxfId="0" priority="65" operator="greaterThanOrEqual">
      <formula>1</formula>
    </cfRule>
  </conditionalFormatting>
  <conditionalFormatting sqref="N180">
    <cfRule type="cellIs" dxfId="0" priority="7" operator="greaterThanOrEqual">
      <formula>1</formula>
    </cfRule>
  </conditionalFormatting>
  <conditionalFormatting sqref="N183">
    <cfRule type="cellIs" dxfId="0" priority="5" operator="greaterThanOrEqual">
      <formula>1</formula>
    </cfRule>
  </conditionalFormatting>
  <conditionalFormatting sqref="N188">
    <cfRule type="cellIs" dxfId="0" priority="62" operator="greaterThanOrEqual">
      <formula>1</formula>
    </cfRule>
  </conditionalFormatting>
  <conditionalFormatting sqref="N189">
    <cfRule type="cellIs" dxfId="0" priority="33" operator="greaterThanOrEqual">
      <formula>1</formula>
    </cfRule>
  </conditionalFormatting>
  <conditionalFormatting sqref="N194">
    <cfRule type="cellIs" dxfId="0" priority="59" operator="greaterThanOrEqual">
      <formula>1</formula>
    </cfRule>
  </conditionalFormatting>
  <conditionalFormatting sqref="N195">
    <cfRule type="cellIs" dxfId="0" priority="31" operator="greaterThanOrEqual">
      <formula>1</formula>
    </cfRule>
  </conditionalFormatting>
  <conditionalFormatting sqref="N200">
    <cfRule type="cellIs" dxfId="0" priority="56" operator="greaterThanOrEqual">
      <formula>1</formula>
    </cfRule>
  </conditionalFormatting>
  <conditionalFormatting sqref="N201">
    <cfRule type="cellIs" dxfId="0" priority="29" operator="greaterThanOrEqual">
      <formula>1</formula>
    </cfRule>
  </conditionalFormatting>
  <conditionalFormatting sqref="N206">
    <cfRule type="cellIs" dxfId="0" priority="53" operator="greaterThanOrEqual">
      <formula>1</formula>
    </cfRule>
  </conditionalFormatting>
  <conditionalFormatting sqref="N207">
    <cfRule type="cellIs" dxfId="0" priority="27" operator="greaterThanOrEqual">
      <formula>1</formula>
    </cfRule>
  </conditionalFormatting>
  <conditionalFormatting sqref="N212">
    <cfRule type="cellIs" dxfId="0" priority="50" operator="greaterThanOrEqual">
      <formula>1</formula>
    </cfRule>
  </conditionalFormatting>
  <conditionalFormatting sqref="N216">
    <cfRule type="cellIs" dxfId="0" priority="3" operator="greaterThanOrEqual">
      <formula>1</formula>
    </cfRule>
  </conditionalFormatting>
  <conditionalFormatting sqref="N219">
    <cfRule type="cellIs" dxfId="0" priority="1" operator="greaterThanOrEqual">
      <formula>1</formula>
    </cfRule>
  </conditionalFormatting>
  <conditionalFormatting sqref="N224">
    <cfRule type="cellIs" dxfId="0" priority="47" operator="greaterThanOrEqual">
      <formula>1</formula>
    </cfRule>
  </conditionalFormatting>
  <conditionalFormatting sqref="N225">
    <cfRule type="cellIs" dxfId="0" priority="23" operator="greaterThanOrEqual">
      <formula>1</formula>
    </cfRule>
  </conditionalFormatting>
  <conditionalFormatting sqref="F87:F93">
    <cfRule type="cellIs" dxfId="1" priority="125" operator="greaterThanOrEqual">
      <formula>1</formula>
    </cfRule>
  </conditionalFormatting>
  <conditionalFormatting sqref="I87:I93">
    <cfRule type="cellIs" dxfId="1" priority="124" operator="greaterThanOrEqual">
      <formula>1</formula>
    </cfRule>
  </conditionalFormatting>
  <conditionalFormatting sqref="N104:N105">
    <cfRule type="cellIs" dxfId="0" priority="77" operator="greaterThanOrEqual">
      <formula>1</formula>
    </cfRule>
  </conditionalFormatting>
  <conditionalFormatting sqref="N119:N131">
    <cfRule type="cellIs" dxfId="0" priority="101" operator="greaterThanOrEqual">
      <formula>1</formula>
    </cfRule>
  </conditionalFormatting>
  <conditionalFormatting sqref="N140:N141">
    <cfRule type="cellIs" dxfId="0" priority="99" operator="greaterThanOrEqual">
      <formula>1</formula>
    </cfRule>
  </conditionalFormatting>
  <conditionalFormatting sqref="S34:S36">
    <cfRule type="cellIs" dxfId="0" priority="21" operator="greaterThanOrEqual">
      <formula>0.7</formula>
    </cfRule>
  </conditionalFormatting>
  <conditionalFormatting sqref="S148:S153">
    <cfRule type="cellIs" dxfId="0" priority="76" operator="greaterThanOrEqual">
      <formula>0.7</formula>
    </cfRule>
  </conditionalFormatting>
  <conditionalFormatting sqref="S154:S159">
    <cfRule type="cellIs" dxfId="0" priority="73" operator="greaterThanOrEqual">
      <formula>0.7</formula>
    </cfRule>
  </conditionalFormatting>
  <conditionalFormatting sqref="S160:S165">
    <cfRule type="cellIs" dxfId="0" priority="19" operator="greaterThanOrEqual">
      <formula>0.7</formula>
    </cfRule>
  </conditionalFormatting>
  <conditionalFormatting sqref="S166:S171">
    <cfRule type="cellIs" dxfId="0" priority="70" operator="greaterThanOrEqual">
      <formula>0.7</formula>
    </cfRule>
  </conditionalFormatting>
  <conditionalFormatting sqref="S172:S183">
    <cfRule type="cellIs" dxfId="0" priority="67" operator="greaterThanOrEqual">
      <formula>0.7</formula>
    </cfRule>
  </conditionalFormatting>
  <conditionalFormatting sqref="S184:S189">
    <cfRule type="cellIs" dxfId="0" priority="64" operator="greaterThanOrEqual">
      <formula>0.7</formula>
    </cfRule>
  </conditionalFormatting>
  <conditionalFormatting sqref="S190:S195">
    <cfRule type="cellIs" dxfId="0" priority="61" operator="greaterThanOrEqual">
      <formula>0.7</formula>
    </cfRule>
  </conditionalFormatting>
  <conditionalFormatting sqref="S196:S201">
    <cfRule type="cellIs" dxfId="0" priority="58" operator="greaterThanOrEqual">
      <formula>0.7</formula>
    </cfRule>
  </conditionalFormatting>
  <conditionalFormatting sqref="S202:S207">
    <cfRule type="cellIs" dxfId="0" priority="55" operator="greaterThanOrEqual">
      <formula>0.7</formula>
    </cfRule>
  </conditionalFormatting>
  <conditionalFormatting sqref="S208:S219">
    <cfRule type="cellIs" dxfId="0" priority="52" operator="greaterThanOrEqual">
      <formula>0.7</formula>
    </cfRule>
  </conditionalFormatting>
  <conditionalFormatting sqref="S220:S225">
    <cfRule type="cellIs" dxfId="0" priority="49" operator="greaterThanOrEqual">
      <formula>0.7</formula>
    </cfRule>
  </conditionalFormatting>
  <conditionalFormatting sqref="S1:S4 R6:R17 S18:S20 S22:S33 S37:S87 S100:S147 S226:S1048576">
    <cfRule type="cellIs" dxfId="0" priority="117" operator="greaterThanOrEqual">
      <formula>0.7</formula>
    </cfRule>
  </conditionalFormatting>
  <conditionalFormatting sqref="E7 H7 K7 E8 H8 K8 E9:E11 H9:H11 K9:K11 E12:E17 H12:H17 K12:K17 F18 I18 L18">
    <cfRule type="cellIs" dxfId="0" priority="122" operator="greaterThanOrEqual">
      <formula>1</formula>
    </cfRule>
  </conditionalFormatting>
  <conditionalFormatting sqref="N7:N17 O18">
    <cfRule type="cellIs" dxfId="0" priority="121" operator="greaterThanOrEqual">
      <formula>1</formula>
    </cfRule>
  </conditionalFormatting>
  <conditionalFormatting sqref="D24:P24 D27:P27 D30:P30 D33:P33 D39:P39 D42:P42 D43:H45 D48:P48 D51:P51 D54:P54 D57:P57 D60:P60 D61:H63 D66:P66">
    <cfRule type="cellIs" dxfId="0" priority="45" operator="greaterThanOrEqual">
      <formula>1</formula>
    </cfRule>
  </conditionalFormatting>
  <conditionalFormatting sqref="E66 H66 K66">
    <cfRule type="cellIs" dxfId="0" priority="80" operator="greaterThanOrEqual">
      <formula>1</formula>
    </cfRule>
  </conditionalFormatting>
  <conditionalFormatting sqref="E67 H67 K67">
    <cfRule type="cellIs" dxfId="0" priority="106" operator="greaterThanOrEqual">
      <formula>1</formula>
    </cfRule>
  </conditionalFormatting>
  <conditionalFormatting sqref="F87:F89 I87:I89 L87:L89 O87:O89 F90:F91 I90:I91 L90:L91 O90:O91 F92:F93 I92:I93 L92:L93 O92:O93">
    <cfRule type="cellIs" dxfId="0" priority="123" operator="greaterThanOrEqual">
      <formula>1</formula>
    </cfRule>
  </conditionalFormatting>
  <conditionalFormatting sqref="L87:L89 O87:O89 L90:L91 O90:O91 L92:L93 O92:O93">
    <cfRule type="cellIs" dxfId="1" priority="126" operator="greaterThanOrEqual">
      <formula>1</formula>
    </cfRule>
  </conditionalFormatting>
  <conditionalFormatting sqref="E101 H101 K101">
    <cfRule type="cellIs" dxfId="0" priority="104" operator="greaterThanOrEqual">
      <formula>1</formula>
    </cfRule>
  </conditionalFormatting>
  <conditionalFormatting sqref="H103 K103">
    <cfRule type="cellIs" dxfId="0" priority="14" operator="greaterThanOrEqual">
      <formula>1</formula>
    </cfRule>
  </conditionalFormatting>
  <conditionalFormatting sqref="E104 H104 K104 E105 H105 K105">
    <cfRule type="cellIs" dxfId="0" priority="78" operator="greaterThanOrEqual">
      <formula>1</formula>
    </cfRule>
  </conditionalFormatting>
  <conditionalFormatting sqref="E119:E121 H119:H121 K119:K121 E122:E127 H122:H127 K122:K127 E128 H128 K128 E129:E131 H129:H131 K129:K131">
    <cfRule type="cellIs" dxfId="0" priority="102" operator="greaterThanOrEqual">
      <formula>1</formula>
    </cfRule>
  </conditionalFormatting>
  <conditionalFormatting sqref="H140 K140 E141 H141 K141">
    <cfRule type="cellIs" dxfId="0" priority="100" operator="greaterThanOrEqual">
      <formula>1</formula>
    </cfRule>
  </conditionalFormatting>
  <conditionalFormatting sqref="H146 K146">
    <cfRule type="cellIs" dxfId="0" priority="98" operator="greaterThanOrEqual">
      <formula>1</formula>
    </cfRule>
  </conditionalFormatting>
  <conditionalFormatting sqref="E147 H147 K147">
    <cfRule type="cellIs" dxfId="0" priority="44" operator="greaterThanOrEqual">
      <formula>1</formula>
    </cfRule>
  </conditionalFormatting>
  <conditionalFormatting sqref="H152 K152">
    <cfRule type="cellIs" dxfId="0" priority="75" operator="greaterThanOrEqual">
      <formula>1</formula>
    </cfRule>
  </conditionalFormatting>
  <conditionalFormatting sqref="E153 H153 K153">
    <cfRule type="cellIs" dxfId="0" priority="42" operator="greaterThanOrEqual">
      <formula>1</formula>
    </cfRule>
  </conditionalFormatting>
  <conditionalFormatting sqref="H158 K158">
    <cfRule type="cellIs" dxfId="0" priority="72" operator="greaterThanOrEqual">
      <formula>1</formula>
    </cfRule>
  </conditionalFormatting>
  <conditionalFormatting sqref="E159 H159 K159">
    <cfRule type="cellIs" dxfId="0" priority="40" operator="greaterThanOrEqual">
      <formula>1</formula>
    </cfRule>
  </conditionalFormatting>
  <conditionalFormatting sqref="H164 K164">
    <cfRule type="cellIs" dxfId="0" priority="18" operator="greaterThanOrEqual">
      <formula>1</formula>
    </cfRule>
  </conditionalFormatting>
  <conditionalFormatting sqref="E165 H165 K165">
    <cfRule type="cellIs" dxfId="0" priority="16" operator="greaterThanOrEqual">
      <formula>1</formula>
    </cfRule>
  </conditionalFormatting>
  <conditionalFormatting sqref="H170 K170">
    <cfRule type="cellIs" dxfId="0" priority="69" operator="greaterThanOrEqual">
      <formula>1</formula>
    </cfRule>
  </conditionalFormatting>
  <conditionalFormatting sqref="E171 H171 K171">
    <cfRule type="cellIs" dxfId="0" priority="38" operator="greaterThanOrEqual">
      <formula>1</formula>
    </cfRule>
  </conditionalFormatting>
  <conditionalFormatting sqref="H176 K176">
    <cfRule type="cellIs" dxfId="0" priority="66" operator="greaterThanOrEqual">
      <formula>1</formula>
    </cfRule>
  </conditionalFormatting>
  <conditionalFormatting sqref="E177 H177 K177 E178 H178 K178 E179 H179 K179 E181 H181 K181 E182 H182 K182">
    <cfRule type="cellIs" dxfId="0" priority="36" operator="greaterThanOrEqual">
      <formula>1</formula>
    </cfRule>
  </conditionalFormatting>
  <conditionalFormatting sqref="N177:N179 N181:N182">
    <cfRule type="cellIs" dxfId="0" priority="35" operator="greaterThanOrEqual">
      <formula>1</formula>
    </cfRule>
  </conditionalFormatting>
  <conditionalFormatting sqref="E180 H180 K180">
    <cfRule type="cellIs" dxfId="0" priority="8" operator="greaterThanOrEqual">
      <formula>1</formula>
    </cfRule>
  </conditionalFormatting>
  <conditionalFormatting sqref="E183 H183 K183">
    <cfRule type="cellIs" dxfId="0" priority="6" operator="greaterThanOrEqual">
      <formula>1</formula>
    </cfRule>
  </conditionalFormatting>
  <conditionalFormatting sqref="H188 K188">
    <cfRule type="cellIs" dxfId="0" priority="63" operator="greaterThanOrEqual">
      <formula>1</formula>
    </cfRule>
  </conditionalFormatting>
  <conditionalFormatting sqref="E189 H189 K189">
    <cfRule type="cellIs" dxfId="0" priority="34" operator="greaterThanOrEqual">
      <formula>1</formula>
    </cfRule>
  </conditionalFormatting>
  <conditionalFormatting sqref="H194 K194">
    <cfRule type="cellIs" dxfId="0" priority="60" operator="greaterThanOrEqual">
      <formula>1</formula>
    </cfRule>
  </conditionalFormatting>
  <conditionalFormatting sqref="E195 H195 K195">
    <cfRule type="cellIs" dxfId="0" priority="32" operator="greaterThanOrEqual">
      <formula>1</formula>
    </cfRule>
  </conditionalFormatting>
  <conditionalFormatting sqref="H200 K200">
    <cfRule type="cellIs" dxfId="0" priority="57" operator="greaterThanOrEqual">
      <formula>1</formula>
    </cfRule>
  </conditionalFormatting>
  <conditionalFormatting sqref="E201 H201 K201">
    <cfRule type="cellIs" dxfId="0" priority="30" operator="greaterThanOrEqual">
      <formula>1</formula>
    </cfRule>
  </conditionalFormatting>
  <conditionalFormatting sqref="H206 K206">
    <cfRule type="cellIs" dxfId="0" priority="54" operator="greaterThanOrEqual">
      <formula>1</formula>
    </cfRule>
  </conditionalFormatting>
  <conditionalFormatting sqref="E207 H207 K207">
    <cfRule type="cellIs" dxfId="0" priority="28" operator="greaterThanOrEqual">
      <formula>1</formula>
    </cfRule>
  </conditionalFormatting>
  <conditionalFormatting sqref="H212 K212">
    <cfRule type="cellIs" dxfId="0" priority="51" operator="greaterThanOrEqual">
      <formula>1</formula>
    </cfRule>
  </conditionalFormatting>
  <conditionalFormatting sqref="E213 H213 K213 E214 H214 K214 E215 H215 K215 E217 H217 K217 E218 H218 K218">
    <cfRule type="cellIs" dxfId="0" priority="26" operator="greaterThanOrEqual">
      <formula>1</formula>
    </cfRule>
  </conditionalFormatting>
  <conditionalFormatting sqref="N213:N215 N217:N218">
    <cfRule type="cellIs" dxfId="0" priority="25" operator="greaterThanOrEqual">
      <formula>1</formula>
    </cfRule>
  </conditionalFormatting>
  <conditionalFormatting sqref="E216 H216 K216">
    <cfRule type="cellIs" dxfId="0" priority="4" operator="greaterThanOrEqual">
      <formula>1</formula>
    </cfRule>
  </conditionalFormatting>
  <conditionalFormatting sqref="E219 H219 K219">
    <cfRule type="cellIs" dxfId="0" priority="2" operator="greaterThanOrEqual">
      <formula>1</formula>
    </cfRule>
  </conditionalFormatting>
  <conditionalFormatting sqref="H224 K224">
    <cfRule type="cellIs" dxfId="0" priority="48" operator="greaterThanOrEqual">
      <formula>1</formula>
    </cfRule>
  </conditionalFormatting>
  <conditionalFormatting sqref="E225 H225 K225">
    <cfRule type="cellIs" dxfId="0" priority="24" operator="greaterThanOrEqual">
      <formula>1</formula>
    </cfRule>
  </conditionalFormatting>
  <pageMargins left="0.75" right="0.75" top="1" bottom="1" header="0.5" footer="0.5"/>
  <pageSetup paperSize="9" orientation="portrait"/>
  <headerFooter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072" name="Drop Down 184" r:id="rId3">
              <controlPr defaultSize="0">
                <anchor moveWithCells="1">
                  <from>
                    <xdr:col>15</xdr:col>
                    <xdr:colOff>501650</xdr:colOff>
                    <xdr:row>86</xdr:row>
                    <xdr:rowOff>161290</xdr:rowOff>
                  </from>
                  <to>
                    <xdr:col>15</xdr:col>
                    <xdr:colOff>1473835</xdr:colOff>
                    <xdr:row>87</xdr:row>
                    <xdr:rowOff>330200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77" name="Check Box 189" r:id="rId4">
              <controlPr defaultSize="0">
                <anchor moveWithCells="1">
                  <from>
                    <xdr:col>12</xdr:col>
                    <xdr:colOff>893445</xdr:colOff>
                    <xdr:row>121</xdr:row>
                    <xdr:rowOff>99695</xdr:rowOff>
                  </from>
                  <to>
                    <xdr:col>13</xdr:col>
                    <xdr:colOff>807720</xdr:colOff>
                    <xdr:row>122</xdr:row>
                    <xdr:rowOff>227965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78" name="Check Box 190" r:id="rId5">
              <controlPr defaultSize="0">
                <anchor moveWithCells="1">
                  <from>
                    <xdr:col>12</xdr:col>
                    <xdr:colOff>893445</xdr:colOff>
                    <xdr:row>118</xdr:row>
                    <xdr:rowOff>45720</xdr:rowOff>
                  </from>
                  <to>
                    <xdr:col>13</xdr:col>
                    <xdr:colOff>807720</xdr:colOff>
                    <xdr:row>119</xdr:row>
                    <xdr:rowOff>112395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79" name="Check Box 191" r:id="rId6">
              <controlPr defaultSize="0">
                <anchor moveWithCells="1">
                  <from>
                    <xdr:col>12</xdr:col>
                    <xdr:colOff>893445</xdr:colOff>
                    <xdr:row>119</xdr:row>
                    <xdr:rowOff>67310</xdr:rowOff>
                  </from>
                  <to>
                    <xdr:col>13</xdr:col>
                    <xdr:colOff>807720</xdr:colOff>
                    <xdr:row>120</xdr:row>
                    <xdr:rowOff>125095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80" name="Check Box 192" r:id="rId7">
              <controlPr defaultSize="0">
                <anchor moveWithCells="1">
                  <from>
                    <xdr:col>12</xdr:col>
                    <xdr:colOff>893445</xdr:colOff>
                    <xdr:row>120</xdr:row>
                    <xdr:rowOff>79375</xdr:rowOff>
                  </from>
                  <to>
                    <xdr:col>13</xdr:col>
                    <xdr:colOff>807720</xdr:colOff>
                    <xdr:row>121</xdr:row>
                    <xdr:rowOff>208280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81" name="Drop Down 193" r:id="rId8">
              <controlPr defaultSize="0">
                <anchor moveWithCells="1">
                  <from>
                    <xdr:col>8</xdr:col>
                    <xdr:colOff>333375</xdr:colOff>
                    <xdr:row>265</xdr:row>
                    <xdr:rowOff>69215</xdr:rowOff>
                  </from>
                  <to>
                    <xdr:col>9</xdr:col>
                    <xdr:colOff>500380</xdr:colOff>
                    <xdr:row>267</xdr:row>
                    <xdr:rowOff>45085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82" name="Drop Down 194" r:id="rId9">
              <controlPr defaultSize="0">
                <anchor moveWithCells="1">
                  <from>
                    <xdr:col>17</xdr:col>
                    <xdr:colOff>366395</xdr:colOff>
                    <xdr:row>265</xdr:row>
                    <xdr:rowOff>80645</xdr:rowOff>
                  </from>
                  <to>
                    <xdr:col>18</xdr:col>
                    <xdr:colOff>485140</xdr:colOff>
                    <xdr:row>267</xdr:row>
                    <xdr:rowOff>3175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407A8"/>
  </sheetPr>
  <dimension ref="A1:K23"/>
  <sheetViews>
    <sheetView showGridLines="0" zoomScale="90" zoomScaleNormal="90" workbookViewId="0">
      <selection activeCell="E23" sqref="E23"/>
    </sheetView>
  </sheetViews>
  <sheetFormatPr defaultColWidth="8.725" defaultRowHeight="16.5"/>
  <cols>
    <col min="1" max="1" width="15.6333333333333" style="155" customWidth="1"/>
    <col min="2" max="2" width="11.4416666666667" style="155" customWidth="1"/>
    <col min="3" max="3" width="12.6333333333333" style="155" customWidth="1"/>
    <col min="4" max="14" width="16.0916666666667" style="155" customWidth="1"/>
    <col min="15" max="15" width="12.875" style="156" customWidth="1"/>
    <col min="16" max="16" width="15.375" style="156" customWidth="1"/>
    <col min="17" max="17" width="12.875" style="156" customWidth="1"/>
    <col min="18" max="18" width="15.375" style="156" customWidth="1"/>
    <col min="19" max="19" width="12.875" style="156" customWidth="1"/>
    <col min="20" max="20" width="15.375" style="156" customWidth="1"/>
    <col min="21" max="21" width="12.875" style="156" customWidth="1"/>
    <col min="22" max="22" width="15.375" style="156" customWidth="1"/>
    <col min="23" max="23" width="12.875" style="156" customWidth="1"/>
    <col min="24" max="24" width="15.375" style="156" customWidth="1"/>
    <col min="25" max="25" width="12.875" style="156" customWidth="1"/>
    <col min="26" max="26" width="15.375" style="156" customWidth="1"/>
    <col min="27" max="50" width="12.125" style="156" customWidth="1"/>
    <col min="51" max="16351" width="5.09166666666667" style="156"/>
    <col min="16352" max="16384" width="8.725" style="156"/>
  </cols>
  <sheetData>
    <row r="1" ht="24.75" spans="1:11">
      <c r="A1" s="157" t="s">
        <v>53</v>
      </c>
      <c r="B1" s="157"/>
      <c r="C1" s="157"/>
      <c r="D1" s="157"/>
      <c r="E1" s="157"/>
      <c r="F1" s="157"/>
    </row>
    <row r="2" ht="35" customHeight="1" spans="1:11">
      <c r="A2" s="158" t="s">
        <v>3</v>
      </c>
      <c r="B2" s="159" t="s">
        <v>54</v>
      </c>
      <c r="C2" s="160" t="s">
        <v>55</v>
      </c>
      <c r="D2" s="160"/>
      <c r="E2" s="160"/>
      <c r="F2" s="160"/>
      <c r="G2" s="160"/>
      <c r="H2" s="160"/>
      <c r="I2" s="160"/>
      <c r="J2" s="160"/>
      <c r="K2" s="160"/>
    </row>
    <row r="3" ht="78" customHeight="1" spans="1:11">
      <c r="A3" s="161"/>
      <c r="B3" s="159"/>
      <c r="C3" s="162" t="s">
        <v>56</v>
      </c>
      <c r="D3" s="160"/>
      <c r="E3" s="163" t="s">
        <v>57</v>
      </c>
      <c r="F3" s="163"/>
      <c r="G3" s="163"/>
      <c r="H3" s="163"/>
      <c r="I3" s="164" t="s">
        <v>58</v>
      </c>
      <c r="J3" s="163" t="s">
        <v>59</v>
      </c>
      <c r="K3" s="163"/>
    </row>
    <row r="4" ht="35" customHeight="1" spans="1:11">
      <c r="A4" s="161"/>
      <c r="B4" s="159"/>
      <c r="C4" s="163" t="s">
        <v>60</v>
      </c>
      <c r="D4" s="163" t="s">
        <v>61</v>
      </c>
      <c r="E4" s="163" t="s">
        <v>62</v>
      </c>
      <c r="F4" s="163" t="s">
        <v>63</v>
      </c>
      <c r="G4" s="163" t="s">
        <v>64</v>
      </c>
      <c r="H4" s="163" t="s">
        <v>65</v>
      </c>
      <c r="I4" s="165"/>
      <c r="J4" s="163" t="s">
        <v>66</v>
      </c>
      <c r="K4" s="163" t="s">
        <v>67</v>
      </c>
    </row>
    <row r="5" ht="22" customHeight="1" spans="1:11">
      <c r="A5" s="166" t="s">
        <v>18</v>
      </c>
      <c r="B5" s="167" t="s">
        <v>24</v>
      </c>
      <c r="C5" s="168">
        <v>38</v>
      </c>
      <c r="D5" s="168">
        <v>9</v>
      </c>
      <c r="E5" s="168">
        <v>21</v>
      </c>
      <c r="F5" s="168">
        <v>3</v>
      </c>
      <c r="G5" s="169">
        <v>15</v>
      </c>
      <c r="H5" s="170">
        <f t="shared" ref="H5:H12" si="0">G5/E5</f>
        <v>0.714285714285714</v>
      </c>
      <c r="I5" s="171"/>
      <c r="J5" s="169">
        <v>11</v>
      </c>
      <c r="K5" s="169">
        <v>165694.4</v>
      </c>
    </row>
    <row r="6" ht="22" customHeight="1" spans="1:11">
      <c r="A6" s="166"/>
      <c r="B6" s="167" t="s">
        <v>25</v>
      </c>
      <c r="C6" s="168">
        <v>34</v>
      </c>
      <c r="D6" s="168">
        <v>4</v>
      </c>
      <c r="E6" s="168">
        <v>24</v>
      </c>
      <c r="F6" s="168">
        <v>1</v>
      </c>
      <c r="G6" s="169">
        <v>23</v>
      </c>
      <c r="H6" s="170">
        <f t="shared" si="0"/>
        <v>0.958333333333333</v>
      </c>
      <c r="I6" s="171"/>
      <c r="J6" s="169">
        <v>30</v>
      </c>
      <c r="K6" s="169">
        <v>1250</v>
      </c>
    </row>
    <row r="7" ht="22" customHeight="1" spans="1:11">
      <c r="A7" s="166"/>
      <c r="B7" s="167" t="s">
        <v>26</v>
      </c>
      <c r="C7" s="168">
        <v>34</v>
      </c>
      <c r="D7" s="168">
        <v>3</v>
      </c>
      <c r="E7" s="168">
        <v>22</v>
      </c>
      <c r="F7" s="168">
        <v>1</v>
      </c>
      <c r="G7" s="169">
        <v>17</v>
      </c>
      <c r="H7" s="170">
        <f t="shared" si="0"/>
        <v>0.772727272727273</v>
      </c>
      <c r="I7" s="171"/>
      <c r="J7" s="169">
        <v>17</v>
      </c>
      <c r="K7" s="169">
        <v>293066</v>
      </c>
    </row>
    <row r="8" ht="22" customHeight="1" spans="1:11">
      <c r="A8" s="166"/>
      <c r="B8" s="167" t="s">
        <v>27</v>
      </c>
      <c r="C8" s="168">
        <v>40</v>
      </c>
      <c r="D8" s="168">
        <v>4</v>
      </c>
      <c r="E8" s="168">
        <v>11</v>
      </c>
      <c r="F8" s="168">
        <v>1</v>
      </c>
      <c r="G8" s="169">
        <v>11</v>
      </c>
      <c r="H8" s="170">
        <f t="shared" si="0"/>
        <v>1</v>
      </c>
      <c r="I8" s="171"/>
      <c r="J8" s="169">
        <v>3</v>
      </c>
      <c r="K8" s="169">
        <v>8820</v>
      </c>
    </row>
    <row r="9" ht="22" customHeight="1" spans="1:11">
      <c r="A9" s="166"/>
      <c r="B9" s="167" t="s">
        <v>28</v>
      </c>
      <c r="C9" s="168">
        <v>39</v>
      </c>
      <c r="D9" s="168">
        <v>4</v>
      </c>
      <c r="E9" s="168">
        <v>8</v>
      </c>
      <c r="F9" s="168"/>
      <c r="G9" s="169">
        <v>10</v>
      </c>
      <c r="H9" s="170">
        <f t="shared" si="0"/>
        <v>1.25</v>
      </c>
      <c r="I9" s="171"/>
      <c r="J9" s="169">
        <v>8</v>
      </c>
      <c r="K9" s="169">
        <v>36875</v>
      </c>
    </row>
    <row r="10" ht="22" customHeight="1" spans="1:11">
      <c r="A10" s="166"/>
      <c r="B10" s="167" t="s">
        <v>29</v>
      </c>
      <c r="C10" s="168">
        <v>34</v>
      </c>
      <c r="D10" s="168">
        <v>2</v>
      </c>
      <c r="E10" s="168">
        <v>18</v>
      </c>
      <c r="F10" s="168">
        <v>1</v>
      </c>
      <c r="G10" s="169">
        <v>19</v>
      </c>
      <c r="H10" s="170">
        <f t="shared" si="0"/>
        <v>1.05555555555556</v>
      </c>
      <c r="I10" s="171">
        <v>2</v>
      </c>
      <c r="J10" s="169">
        <v>10</v>
      </c>
      <c r="K10" s="169">
        <v>600440</v>
      </c>
    </row>
    <row r="11" ht="22" customHeight="1" spans="1:11">
      <c r="A11" s="166"/>
      <c r="B11" s="167" t="s">
        <v>30</v>
      </c>
      <c r="C11" s="168">
        <v>34</v>
      </c>
      <c r="D11" s="168">
        <v>6</v>
      </c>
      <c r="E11" s="168">
        <v>25</v>
      </c>
      <c r="F11" s="168"/>
      <c r="G11" s="169">
        <v>21</v>
      </c>
      <c r="H11" s="170">
        <f t="shared" si="0"/>
        <v>0.84</v>
      </c>
      <c r="I11" s="171"/>
      <c r="J11" s="169">
        <v>18</v>
      </c>
      <c r="K11" s="169">
        <v>457500</v>
      </c>
    </row>
    <row r="12" ht="22" customHeight="1" spans="1:11">
      <c r="A12" s="166"/>
      <c r="B12" s="167" t="s">
        <v>32</v>
      </c>
      <c r="C12" s="168">
        <v>34</v>
      </c>
      <c r="D12" s="168">
        <v>4</v>
      </c>
      <c r="E12" s="168">
        <v>25</v>
      </c>
      <c r="F12" s="168">
        <v>2</v>
      </c>
      <c r="G12" s="169">
        <v>22</v>
      </c>
      <c r="H12" s="170">
        <f t="shared" si="0"/>
        <v>0.88</v>
      </c>
      <c r="I12" s="171"/>
      <c r="J12" s="169">
        <v>17</v>
      </c>
      <c r="K12" s="169">
        <v>141080</v>
      </c>
    </row>
    <row r="13" ht="22" customHeight="1" spans="1:11">
      <c r="A13" s="166"/>
      <c r="B13" s="167" t="s">
        <v>50</v>
      </c>
      <c r="C13" s="168"/>
      <c r="D13" s="168"/>
      <c r="E13" s="168"/>
      <c r="F13" s="168"/>
      <c r="G13" s="169"/>
      <c r="H13" s="170"/>
      <c r="I13" s="171"/>
      <c r="J13" s="169">
        <v>11</v>
      </c>
      <c r="K13" s="169">
        <v>42744.2</v>
      </c>
    </row>
    <row r="14" ht="22" customHeight="1" spans="1:11">
      <c r="A14" s="166"/>
      <c r="B14" s="167" t="s">
        <v>34</v>
      </c>
      <c r="C14" s="168">
        <v>39</v>
      </c>
      <c r="D14" s="168">
        <v>4</v>
      </c>
      <c r="E14" s="168">
        <v>26</v>
      </c>
      <c r="F14" s="168">
        <v>1</v>
      </c>
      <c r="G14" s="169">
        <v>19</v>
      </c>
      <c r="H14" s="170">
        <f t="shared" ref="H14:H18" si="1">G14/E14</f>
        <v>0.730769230769231</v>
      </c>
      <c r="I14" s="171"/>
      <c r="J14" s="169">
        <v>17</v>
      </c>
      <c r="K14" s="169">
        <v>195851.2</v>
      </c>
    </row>
    <row r="15" ht="22" customHeight="1" spans="1:11">
      <c r="A15" s="166"/>
      <c r="B15" s="167" t="s">
        <v>40</v>
      </c>
      <c r="C15" s="168">
        <v>3</v>
      </c>
      <c r="D15" s="168"/>
      <c r="E15" s="168">
        <v>2</v>
      </c>
      <c r="F15" s="168"/>
      <c r="G15" s="169">
        <v>3</v>
      </c>
      <c r="H15" s="170">
        <f t="shared" si="1"/>
        <v>1.5</v>
      </c>
      <c r="I15" s="171"/>
      <c r="J15" s="169">
        <v>6</v>
      </c>
      <c r="K15" s="169">
        <v>86304</v>
      </c>
    </row>
    <row r="16" ht="22" customHeight="1" spans="1:11">
      <c r="A16" s="166"/>
      <c r="B16" s="167" t="s">
        <v>36</v>
      </c>
      <c r="C16" s="168">
        <v>34</v>
      </c>
      <c r="D16" s="168">
        <v>4</v>
      </c>
      <c r="E16" s="168">
        <v>25</v>
      </c>
      <c r="F16" s="168">
        <v>2</v>
      </c>
      <c r="G16" s="169">
        <v>12</v>
      </c>
      <c r="H16" s="170">
        <f t="shared" si="1"/>
        <v>0.48</v>
      </c>
      <c r="I16" s="171">
        <v>1</v>
      </c>
      <c r="J16" s="169">
        <v>21</v>
      </c>
      <c r="K16" s="169">
        <v>396917.2</v>
      </c>
    </row>
    <row r="17" ht="22" customHeight="1" spans="1:11">
      <c r="A17" s="166"/>
      <c r="B17" s="167" t="s">
        <v>38</v>
      </c>
      <c r="C17" s="168">
        <v>38</v>
      </c>
      <c r="D17" s="168">
        <v>4</v>
      </c>
      <c r="E17" s="168">
        <v>22</v>
      </c>
      <c r="F17" s="168">
        <v>6</v>
      </c>
      <c r="G17" s="169">
        <v>17</v>
      </c>
      <c r="H17" s="170">
        <f t="shared" si="1"/>
        <v>0.772727272727273</v>
      </c>
      <c r="I17" s="171"/>
      <c r="J17" s="169">
        <v>16</v>
      </c>
      <c r="K17" s="169">
        <v>116555</v>
      </c>
    </row>
    <row r="18" spans="1:11">
      <c r="A18" s="172" t="s">
        <v>68</v>
      </c>
      <c r="B18" s="172"/>
      <c r="C18" s="172">
        <f t="shared" ref="C18:G18" si="2">SUM(C5:C17)</f>
        <v>401</v>
      </c>
      <c r="D18" s="172">
        <f t="shared" si="2"/>
        <v>48</v>
      </c>
      <c r="E18" s="172">
        <f t="shared" si="2"/>
        <v>229</v>
      </c>
      <c r="F18" s="172">
        <f t="shared" si="2"/>
        <v>18</v>
      </c>
      <c r="G18" s="172">
        <f t="shared" si="2"/>
        <v>189</v>
      </c>
      <c r="H18" s="173">
        <f t="shared" si="1"/>
        <v>0.825327510917031</v>
      </c>
      <c r="I18" s="172">
        <f t="shared" ref="I18:K18" si="3">SUM(I5:I17)</f>
        <v>3</v>
      </c>
      <c r="J18" s="172">
        <f t="shared" si="3"/>
        <v>185</v>
      </c>
      <c r="K18" s="172">
        <f t="shared" si="3"/>
        <v>2543097</v>
      </c>
    </row>
    <row r="23" spans="1:11">
      <c r="H23"/>
    </row>
  </sheetData>
  <mergeCells count="10">
    <mergeCell ref="A1:F1"/>
    <mergeCell ref="C2:K2"/>
    <mergeCell ref="C3:D3"/>
    <mergeCell ref="E3:H3"/>
    <mergeCell ref="J3:K3"/>
    <mergeCell ref="A18:B18"/>
    <mergeCell ref="A2:A4"/>
    <mergeCell ref="A5:A17"/>
    <mergeCell ref="B2:B4"/>
    <mergeCell ref="I3:I4"/>
  </mergeCells>
  <pageMargins left="0.75" right="0.75" top="1" bottom="1" header="0.5" footer="0.5"/>
  <pageSetup paperSize="9" orientation="portrait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tabColor rgb="FFFF6C0D"/>
  </sheetPr>
  <dimension ref="A1:AD101"/>
  <sheetViews>
    <sheetView showGridLines="0" zoomScale="90" zoomScaleNormal="90" workbookViewId="0">
      <selection activeCell="L116" sqref="L116"/>
    </sheetView>
  </sheetViews>
  <sheetFormatPr defaultColWidth="9" defaultRowHeight="18" customHeight="1"/>
  <cols>
    <col min="1" max="1" width="20.75" style="25" customWidth="1"/>
    <col min="2" max="3" width="12.6333333333333" style="25"/>
    <col min="4" max="4" width="13.75" style="25"/>
    <col min="5" max="5" width="15" style="25" customWidth="1"/>
    <col min="6" max="8" width="12.8833333333333" style="25"/>
    <col min="9" max="9" width="13.1166666666667" style="25" customWidth="1"/>
    <col min="10" max="10" width="12.1833333333333" style="25" customWidth="1"/>
    <col min="11" max="11" width="14.525" style="25" customWidth="1"/>
    <col min="12" max="12" width="15.3166666666667" style="25" customWidth="1"/>
    <col min="13" max="13" width="15.45" style="25" customWidth="1"/>
    <col min="14" max="14" width="17.2166666666667" style="25" customWidth="1"/>
    <col min="15" max="15" width="14.0583333333333" style="63" customWidth="1"/>
    <col min="16" max="16" width="14.6333333333333" style="64" customWidth="1"/>
    <col min="17" max="17" width="1.39166666666667" style="64" customWidth="1"/>
    <col min="18" max="18" width="17.125" style="65" customWidth="1"/>
    <col min="19" max="20" width="12.6333333333333" style="65"/>
    <col min="21" max="21" width="13.75" style="65"/>
    <col min="22" max="23" width="8.575" style="65" customWidth="1"/>
    <col min="24" max="24" width="10.55" style="65" customWidth="1"/>
    <col min="25" max="25" width="10.3833333333333" style="65"/>
    <col min="26" max="26" width="10.3833333333333" style="23"/>
    <col min="27" max="28" width="11.5" style="23"/>
    <col min="29" max="30" width="9" style="23"/>
    <col min="31" max="16384" width="9" style="25"/>
  </cols>
  <sheetData>
    <row r="1" ht="3" customHeight="1"/>
    <row r="2" s="61" customFormat="1" ht="6" customHeight="1" spans="1:30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8"/>
      <c r="P2" s="64"/>
      <c r="Q2" s="64"/>
      <c r="R2" s="65"/>
      <c r="S2" s="65"/>
      <c r="T2" s="65"/>
      <c r="U2" s="65"/>
      <c r="V2" s="65"/>
      <c r="W2" s="65"/>
      <c r="X2" s="65"/>
      <c r="Y2" s="65"/>
      <c r="Z2" s="69"/>
      <c r="AA2" s="69"/>
      <c r="AB2" s="69"/>
      <c r="AC2" s="69"/>
      <c r="AD2" s="69"/>
    </row>
    <row r="3" ht="36" customHeight="1" spans="1:30">
      <c r="A3" s="70" t="s">
        <v>69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</row>
    <row r="4" ht="29" customHeight="1" spans="1:30">
      <c r="A4" s="71" t="s">
        <v>70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P4" s="72"/>
    </row>
    <row r="5" customHeight="1" spans="1:30">
      <c r="A5" s="73" t="s">
        <v>18</v>
      </c>
      <c r="B5" s="73" t="s">
        <v>5</v>
      </c>
      <c r="C5" s="73" t="s">
        <v>6</v>
      </c>
      <c r="D5" s="73" t="s">
        <v>7</v>
      </c>
      <c r="E5" s="73" t="s">
        <v>8</v>
      </c>
      <c r="F5" s="73" t="s">
        <v>9</v>
      </c>
      <c r="G5" s="73" t="s">
        <v>10</v>
      </c>
      <c r="H5" s="73" t="s">
        <v>11</v>
      </c>
      <c r="I5" s="73" t="s">
        <v>12</v>
      </c>
      <c r="J5" s="73" t="s">
        <v>13</v>
      </c>
      <c r="K5" s="73" t="s">
        <v>14</v>
      </c>
      <c r="L5" s="73" t="s">
        <v>15</v>
      </c>
      <c r="M5" s="73" t="s">
        <v>16</v>
      </c>
      <c r="N5" s="73" t="s">
        <v>68</v>
      </c>
      <c r="O5" s="74" t="s">
        <v>71</v>
      </c>
      <c r="P5" s="74" t="s">
        <v>72</v>
      </c>
      <c r="X5" s="64" t="s">
        <v>12</v>
      </c>
    </row>
    <row r="6" ht="19" customHeight="1" spans="1:30">
      <c r="A6" s="33" t="s">
        <v>73</v>
      </c>
      <c r="B6" s="33">
        <f>SUM(B10:B21)</f>
        <v>231</v>
      </c>
      <c r="C6" s="33">
        <f t="shared" ref="C6:M6" si="0">SUM(C10:C21)</f>
        <v>153</v>
      </c>
      <c r="D6" s="33">
        <f t="shared" si="0"/>
        <v>270</v>
      </c>
      <c r="E6" s="33">
        <f t="shared" si="0"/>
        <v>231</v>
      </c>
      <c r="F6" s="33">
        <f t="shared" si="0"/>
        <v>224</v>
      </c>
      <c r="G6" s="33">
        <f t="shared" si="0"/>
        <v>229</v>
      </c>
      <c r="H6" s="33">
        <f t="shared" si="0"/>
        <v>0</v>
      </c>
      <c r="I6" s="33">
        <f t="shared" si="0"/>
        <v>0</v>
      </c>
      <c r="J6" s="33">
        <f t="shared" si="0"/>
        <v>0</v>
      </c>
      <c r="K6" s="33">
        <f t="shared" si="0"/>
        <v>0</v>
      </c>
      <c r="L6" s="33">
        <f t="shared" si="0"/>
        <v>0</v>
      </c>
      <c r="M6" s="33">
        <f t="shared" si="0"/>
        <v>0</v>
      </c>
      <c r="N6" s="33">
        <f>SUM(B6:M6)</f>
        <v>1338</v>
      </c>
      <c r="O6" s="75">
        <f>(G6-G7)/G7</f>
        <v>0.0552995391705069</v>
      </c>
      <c r="P6" s="75">
        <f>(G6-F6)/F6</f>
        <v>0.0223214285714286</v>
      </c>
    </row>
    <row r="7" ht="20" customHeight="1" spans="1:30">
      <c r="A7" s="37" t="s">
        <v>74</v>
      </c>
      <c r="B7" s="37">
        <v>149</v>
      </c>
      <c r="C7" s="37">
        <v>212</v>
      </c>
      <c r="D7" s="37">
        <v>270</v>
      </c>
      <c r="E7" s="37">
        <v>268</v>
      </c>
      <c r="F7" s="37">
        <v>241</v>
      </c>
      <c r="G7" s="37">
        <v>217</v>
      </c>
      <c r="H7" s="37">
        <v>285</v>
      </c>
      <c r="I7" s="37">
        <v>231</v>
      </c>
      <c r="J7" s="37">
        <v>215</v>
      </c>
      <c r="K7" s="37">
        <v>184</v>
      </c>
      <c r="L7" s="37">
        <v>207</v>
      </c>
      <c r="M7" s="37">
        <v>235</v>
      </c>
      <c r="N7" s="37">
        <f>SUM(B7:M7)</f>
        <v>2714</v>
      </c>
      <c r="O7" s="76"/>
      <c r="P7" s="77"/>
    </row>
    <row r="8" s="61" customFormat="1" ht="20" customHeight="1" spans="1:30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78"/>
      <c r="P8" s="79"/>
      <c r="Q8" s="64"/>
      <c r="R8" s="65"/>
      <c r="S8" s="65"/>
      <c r="T8" s="65"/>
      <c r="U8" s="65"/>
      <c r="V8" s="65"/>
      <c r="W8" s="65"/>
      <c r="X8" s="65"/>
      <c r="Y8" s="65"/>
      <c r="Z8" s="69"/>
      <c r="AA8" s="69"/>
      <c r="AB8" s="69"/>
      <c r="AC8" s="69"/>
      <c r="AD8" s="69"/>
    </row>
    <row r="9" s="61" customFormat="1" ht="20" hidden="1" customHeight="1" spans="1:30">
      <c r="A9" s="69" t="s">
        <v>75</v>
      </c>
      <c r="B9" s="69" t="s">
        <v>5</v>
      </c>
      <c r="C9" s="69" t="s">
        <v>6</v>
      </c>
      <c r="D9" s="69" t="s">
        <v>7</v>
      </c>
      <c r="E9" s="69" t="s">
        <v>8</v>
      </c>
      <c r="F9" s="69" t="s">
        <v>9</v>
      </c>
      <c r="G9" s="69" t="s">
        <v>10</v>
      </c>
      <c r="H9" s="69" t="s">
        <v>11</v>
      </c>
      <c r="I9" s="69" t="s">
        <v>12</v>
      </c>
      <c r="J9" s="69" t="s">
        <v>13</v>
      </c>
      <c r="K9" s="69" t="s">
        <v>14</v>
      </c>
      <c r="L9" s="69" t="s">
        <v>15</v>
      </c>
      <c r="M9" s="69" t="s">
        <v>16</v>
      </c>
      <c r="N9" s="69"/>
      <c r="O9" s="78"/>
      <c r="P9" s="79"/>
      <c r="Q9" s="64"/>
      <c r="R9" s="65"/>
      <c r="S9" s="65"/>
      <c r="T9" s="65"/>
      <c r="U9" s="65"/>
      <c r="V9" s="65"/>
      <c r="W9" s="65"/>
      <c r="X9" s="65"/>
      <c r="Y9" s="65"/>
      <c r="Z9" s="69"/>
      <c r="AA9" s="69"/>
      <c r="AB9" s="69"/>
      <c r="AC9" s="69"/>
      <c r="AD9" s="69"/>
    </row>
    <row r="10" s="61" customFormat="1" ht="20" hidden="1" customHeight="1" spans="1:30">
      <c r="A10" s="69" t="s">
        <v>76</v>
      </c>
      <c r="B10" s="80">
        <v>31</v>
      </c>
      <c r="C10" s="69">
        <v>21</v>
      </c>
      <c r="D10" s="69">
        <v>34</v>
      </c>
      <c r="E10" s="69">
        <v>26</v>
      </c>
      <c r="F10" s="69">
        <v>24</v>
      </c>
      <c r="G10" s="69">
        <v>21</v>
      </c>
      <c r="H10" s="69"/>
      <c r="I10" s="69"/>
      <c r="J10" s="69"/>
      <c r="K10" s="69"/>
      <c r="L10" s="69"/>
      <c r="M10" s="69"/>
      <c r="N10" s="69"/>
      <c r="O10" s="78"/>
      <c r="P10" s="79"/>
      <c r="Q10" s="64"/>
      <c r="R10" s="65"/>
      <c r="S10" s="65"/>
      <c r="T10" s="65"/>
      <c r="U10" s="65"/>
      <c r="V10" s="65"/>
      <c r="W10" s="65"/>
      <c r="X10" s="65"/>
      <c r="Y10" s="65"/>
      <c r="Z10" s="69"/>
      <c r="AA10" s="69"/>
      <c r="AB10" s="69"/>
      <c r="AC10" s="69"/>
      <c r="AD10" s="69"/>
    </row>
    <row r="11" s="61" customFormat="1" ht="20" hidden="1" customHeight="1" spans="1:30">
      <c r="A11" s="69" t="s">
        <v>77</v>
      </c>
      <c r="B11" s="80">
        <v>24</v>
      </c>
      <c r="C11" s="69">
        <v>2</v>
      </c>
      <c r="D11" s="69">
        <v>29</v>
      </c>
      <c r="E11" s="69">
        <v>27</v>
      </c>
      <c r="F11" s="69">
        <v>27</v>
      </c>
      <c r="G11" s="69">
        <v>24</v>
      </c>
      <c r="H11" s="69"/>
      <c r="I11" s="69"/>
      <c r="J11" s="69"/>
      <c r="K11" s="69"/>
      <c r="L11" s="69"/>
      <c r="M11" s="69"/>
      <c r="N11" s="69"/>
      <c r="O11" s="78"/>
      <c r="P11" s="79"/>
      <c r="Q11" s="64"/>
      <c r="R11" s="65"/>
      <c r="S11" s="65"/>
      <c r="T11" s="65"/>
      <c r="U11" s="65"/>
      <c r="V11" s="65"/>
      <c r="W11" s="65"/>
      <c r="X11" s="65"/>
      <c r="Y11" s="65"/>
      <c r="Z11" s="69"/>
      <c r="AA11" s="69"/>
      <c r="AB11" s="69"/>
      <c r="AC11" s="69"/>
      <c r="AD11" s="69"/>
    </row>
    <row r="12" s="61" customFormat="1" ht="20" hidden="1" customHeight="1" spans="1:30">
      <c r="A12" s="69" t="s">
        <v>78</v>
      </c>
      <c r="B12" s="80">
        <v>27</v>
      </c>
      <c r="C12" s="69">
        <v>28</v>
      </c>
      <c r="D12" s="69">
        <v>34</v>
      </c>
      <c r="E12" s="69">
        <v>27</v>
      </c>
      <c r="F12" s="69">
        <v>25</v>
      </c>
      <c r="G12" s="69">
        <v>22</v>
      </c>
      <c r="H12" s="69"/>
      <c r="I12" s="69"/>
      <c r="J12" s="69"/>
      <c r="K12" s="69"/>
      <c r="L12" s="69"/>
      <c r="M12" s="69"/>
      <c r="N12" s="69"/>
      <c r="O12" s="78"/>
      <c r="P12" s="79"/>
      <c r="Q12" s="64"/>
      <c r="R12" s="65"/>
      <c r="S12" s="65"/>
      <c r="T12" s="65"/>
      <c r="U12" s="65"/>
      <c r="V12" s="65"/>
      <c r="W12" s="65"/>
      <c r="X12" s="65"/>
      <c r="Y12" s="65"/>
      <c r="Z12" s="69"/>
      <c r="AA12" s="69"/>
      <c r="AB12" s="69"/>
      <c r="AC12" s="69"/>
      <c r="AD12" s="69"/>
    </row>
    <row r="13" s="61" customFormat="1" ht="20" hidden="1" customHeight="1" spans="1:30">
      <c r="A13" s="69" t="s">
        <v>79</v>
      </c>
      <c r="B13" s="80">
        <v>4</v>
      </c>
      <c r="C13" s="69">
        <v>6</v>
      </c>
      <c r="D13" s="69">
        <v>3</v>
      </c>
      <c r="E13" s="69">
        <v>13</v>
      </c>
      <c r="F13" s="69">
        <v>23</v>
      </c>
      <c r="G13" s="69">
        <v>19</v>
      </c>
      <c r="H13" s="69"/>
      <c r="I13" s="69"/>
      <c r="J13" s="69"/>
      <c r="K13" s="69"/>
      <c r="L13" s="69"/>
      <c r="M13" s="69"/>
      <c r="N13" s="69"/>
      <c r="O13" s="78"/>
      <c r="P13" s="79"/>
      <c r="Q13" s="64"/>
      <c r="R13" s="65"/>
      <c r="S13" s="65"/>
      <c r="T13" s="65"/>
      <c r="U13" s="65"/>
      <c r="V13" s="65"/>
      <c r="W13" s="65"/>
      <c r="X13" s="65"/>
      <c r="Y13" s="65"/>
      <c r="Z13" s="69"/>
      <c r="AA13" s="69"/>
      <c r="AB13" s="69"/>
      <c r="AC13" s="69"/>
      <c r="AD13" s="69"/>
    </row>
    <row r="14" s="61" customFormat="1" ht="20" hidden="1" customHeight="1" spans="1:30">
      <c r="A14" s="69" t="s">
        <v>80</v>
      </c>
      <c r="B14" s="80">
        <v>28</v>
      </c>
      <c r="C14" s="69">
        <v>10</v>
      </c>
      <c r="D14" s="69">
        <v>28</v>
      </c>
      <c r="E14" s="69">
        <v>16</v>
      </c>
      <c r="F14" s="69">
        <v>12</v>
      </c>
      <c r="G14" s="69">
        <v>18</v>
      </c>
      <c r="H14" s="69"/>
      <c r="I14" s="69"/>
      <c r="J14" s="69"/>
      <c r="K14" s="69"/>
      <c r="L14" s="69"/>
      <c r="M14" s="69"/>
      <c r="N14" s="69"/>
      <c r="O14" s="78"/>
      <c r="P14" s="79"/>
      <c r="Q14" s="64"/>
      <c r="R14" s="65"/>
      <c r="S14" s="65"/>
      <c r="T14" s="65"/>
      <c r="U14" s="65"/>
      <c r="V14" s="65"/>
      <c r="W14" s="65"/>
      <c r="X14" s="65"/>
      <c r="Y14" s="65"/>
      <c r="Z14" s="69"/>
      <c r="AA14" s="69"/>
      <c r="AB14" s="69"/>
      <c r="AC14" s="69"/>
      <c r="AD14" s="69"/>
    </row>
    <row r="15" s="61" customFormat="1" ht="20" hidden="1" customHeight="1" spans="1:30">
      <c r="A15" s="69" t="s">
        <v>81</v>
      </c>
      <c r="B15" s="80">
        <v>18</v>
      </c>
      <c r="C15" s="69">
        <v>12</v>
      </c>
      <c r="D15" s="69">
        <v>30</v>
      </c>
      <c r="E15" s="69">
        <v>21</v>
      </c>
      <c r="F15" s="69">
        <v>23</v>
      </c>
      <c r="G15" s="69">
        <v>25</v>
      </c>
      <c r="H15" s="69"/>
      <c r="I15" s="69"/>
      <c r="J15" s="69"/>
      <c r="K15" s="69"/>
      <c r="L15" s="69"/>
      <c r="M15" s="69"/>
      <c r="N15" s="69"/>
      <c r="O15" s="78"/>
      <c r="P15" s="79"/>
      <c r="Q15" s="64"/>
      <c r="R15" s="65"/>
      <c r="S15" s="65"/>
      <c r="T15" s="65"/>
      <c r="U15" s="65"/>
      <c r="V15" s="65"/>
      <c r="W15" s="65"/>
      <c r="X15" s="65"/>
      <c r="Y15" s="65"/>
      <c r="Z15" s="69"/>
      <c r="AA15" s="69"/>
      <c r="AB15" s="69"/>
      <c r="AC15" s="69"/>
      <c r="AD15" s="69"/>
    </row>
    <row r="16" s="61" customFormat="1" ht="20" hidden="1" customHeight="1" spans="1:30">
      <c r="A16" s="69" t="s">
        <v>82</v>
      </c>
      <c r="B16" s="80">
        <v>27</v>
      </c>
      <c r="C16" s="69">
        <v>17</v>
      </c>
      <c r="D16" s="69">
        <v>19</v>
      </c>
      <c r="E16" s="69">
        <v>23</v>
      </c>
      <c r="F16" s="69">
        <v>22</v>
      </c>
      <c r="G16" s="69">
        <v>25</v>
      </c>
      <c r="H16" s="69"/>
      <c r="I16" s="69"/>
      <c r="J16" s="69"/>
      <c r="K16" s="69"/>
      <c r="L16" s="69"/>
      <c r="M16" s="69"/>
      <c r="N16" s="69"/>
      <c r="O16" s="78"/>
      <c r="P16" s="79"/>
      <c r="Q16" s="64"/>
      <c r="R16" s="65"/>
      <c r="S16" s="65"/>
      <c r="T16" s="65"/>
      <c r="U16" s="65"/>
      <c r="V16" s="65"/>
      <c r="W16" s="65"/>
      <c r="X16" s="65"/>
      <c r="Y16" s="65"/>
      <c r="Z16" s="69"/>
      <c r="AA16" s="69"/>
      <c r="AB16" s="69"/>
      <c r="AC16" s="69"/>
      <c r="AD16" s="69"/>
    </row>
    <row r="17" s="61" customFormat="1" ht="20" hidden="1" customHeight="1" spans="1:30">
      <c r="A17" s="69" t="s">
        <v>83</v>
      </c>
      <c r="B17" s="80">
        <v>8</v>
      </c>
      <c r="C17" s="69">
        <v>8</v>
      </c>
      <c r="D17" s="69">
        <v>18</v>
      </c>
      <c r="E17" s="69">
        <v>12</v>
      </c>
      <c r="F17" s="69">
        <v>2</v>
      </c>
      <c r="G17" s="69"/>
      <c r="H17" s="69"/>
      <c r="I17" s="69"/>
      <c r="J17" s="69"/>
      <c r="K17" s="69"/>
      <c r="L17" s="69"/>
      <c r="M17" s="69"/>
      <c r="N17" s="69"/>
      <c r="O17" s="78"/>
      <c r="P17" s="79"/>
      <c r="Q17" s="64"/>
      <c r="R17" s="65"/>
      <c r="S17" s="65"/>
      <c r="T17" s="65"/>
      <c r="U17" s="65"/>
      <c r="V17" s="65"/>
      <c r="W17" s="65"/>
      <c r="X17" s="65"/>
      <c r="Y17" s="65"/>
      <c r="Z17" s="69"/>
      <c r="AA17" s="69"/>
      <c r="AB17" s="69"/>
      <c r="AC17" s="69"/>
      <c r="AD17" s="69"/>
    </row>
    <row r="18" s="61" customFormat="1" ht="20" hidden="1" customHeight="1" spans="1:30">
      <c r="A18" s="69" t="s">
        <v>84</v>
      </c>
      <c r="B18" s="80">
        <v>15</v>
      </c>
      <c r="C18" s="69">
        <v>10</v>
      </c>
      <c r="D18" s="69">
        <v>15</v>
      </c>
      <c r="E18" s="69">
        <v>21</v>
      </c>
      <c r="F18" s="69">
        <v>16</v>
      </c>
      <c r="G18" s="69">
        <v>26</v>
      </c>
      <c r="H18" s="69"/>
      <c r="I18" s="69"/>
      <c r="J18" s="69"/>
      <c r="K18" s="69"/>
      <c r="L18" s="69"/>
      <c r="M18" s="69"/>
      <c r="N18" s="69"/>
      <c r="O18" s="78"/>
      <c r="P18" s="79"/>
      <c r="Q18" s="64"/>
      <c r="R18" s="65"/>
      <c r="S18" s="65"/>
      <c r="T18" s="65"/>
      <c r="U18" s="65"/>
      <c r="V18" s="65"/>
      <c r="W18" s="65"/>
      <c r="X18" s="65"/>
      <c r="Y18" s="65"/>
      <c r="Z18" s="69"/>
      <c r="AA18" s="69"/>
      <c r="AB18" s="69"/>
      <c r="AC18" s="69"/>
      <c r="AD18" s="69"/>
    </row>
    <row r="19" s="61" customFormat="1" ht="20" hidden="1" customHeight="1" spans="1:30">
      <c r="A19" s="69" t="s">
        <v>85</v>
      </c>
      <c r="B19" s="80">
        <v>18</v>
      </c>
      <c r="C19" s="69">
        <v>12</v>
      </c>
      <c r="D19" s="69">
        <v>20</v>
      </c>
      <c r="E19" s="69">
        <v>18</v>
      </c>
      <c r="F19" s="69">
        <v>13</v>
      </c>
      <c r="G19" s="69">
        <v>2</v>
      </c>
      <c r="H19" s="69"/>
      <c r="I19" s="69"/>
      <c r="J19" s="69"/>
      <c r="K19" s="69"/>
      <c r="L19" s="69"/>
      <c r="M19" s="69"/>
      <c r="N19" s="69"/>
      <c r="O19" s="78"/>
      <c r="P19" s="79"/>
      <c r="Q19" s="64"/>
      <c r="R19" s="65"/>
      <c r="S19" s="65"/>
      <c r="T19" s="65"/>
      <c r="U19" s="65"/>
      <c r="V19" s="65"/>
      <c r="W19" s="65"/>
      <c r="X19" s="65"/>
      <c r="Y19" s="65"/>
      <c r="Z19" s="69"/>
      <c r="AA19" s="69"/>
      <c r="AB19" s="69"/>
      <c r="AC19" s="69"/>
      <c r="AD19" s="69"/>
    </row>
    <row r="20" s="61" customFormat="1" ht="20" hidden="1" customHeight="1" spans="1:30">
      <c r="A20" s="69" t="s">
        <v>86</v>
      </c>
      <c r="B20" s="80">
        <v>12</v>
      </c>
      <c r="C20" s="69">
        <v>13</v>
      </c>
      <c r="D20" s="69">
        <v>22</v>
      </c>
      <c r="E20" s="69">
        <v>16</v>
      </c>
      <c r="F20" s="69">
        <v>16</v>
      </c>
      <c r="G20" s="69">
        <v>25</v>
      </c>
      <c r="H20" s="69"/>
      <c r="I20" s="69"/>
      <c r="J20" s="69"/>
      <c r="K20" s="69"/>
      <c r="L20" s="69"/>
      <c r="M20" s="69"/>
      <c r="N20" s="69"/>
      <c r="O20" s="78"/>
      <c r="P20" s="79"/>
      <c r="Q20" s="64"/>
      <c r="R20" s="65"/>
      <c r="S20" s="65"/>
      <c r="T20" s="65"/>
      <c r="U20" s="65"/>
      <c r="V20" s="65"/>
      <c r="W20" s="65"/>
      <c r="X20" s="65"/>
      <c r="Y20" s="65"/>
      <c r="Z20" s="69"/>
      <c r="AA20" s="69"/>
      <c r="AB20" s="69"/>
      <c r="AC20" s="69"/>
      <c r="AD20" s="69"/>
    </row>
    <row r="21" s="61" customFormat="1" ht="20" hidden="1" customHeight="1" spans="1:30">
      <c r="A21" s="69" t="s">
        <v>87</v>
      </c>
      <c r="B21" s="80">
        <v>19</v>
      </c>
      <c r="C21" s="69">
        <v>14</v>
      </c>
      <c r="D21" s="69">
        <v>18</v>
      </c>
      <c r="E21" s="69">
        <v>11</v>
      </c>
      <c r="F21" s="69">
        <v>21</v>
      </c>
      <c r="G21" s="69">
        <v>22</v>
      </c>
      <c r="H21" s="69"/>
      <c r="I21" s="69"/>
      <c r="J21" s="69"/>
      <c r="K21" s="69"/>
      <c r="L21" s="69"/>
      <c r="M21" s="69"/>
      <c r="N21" s="69"/>
      <c r="O21" s="78"/>
      <c r="P21" s="79"/>
      <c r="Q21" s="64"/>
      <c r="R21" s="65"/>
      <c r="S21" s="65"/>
      <c r="T21" s="65"/>
      <c r="U21" s="65"/>
      <c r="V21" s="65"/>
      <c r="W21" s="65"/>
      <c r="X21" s="65"/>
      <c r="Y21" s="65"/>
      <c r="Z21" s="69"/>
      <c r="AA21" s="69"/>
      <c r="AB21" s="69"/>
      <c r="AC21" s="69"/>
      <c r="AD21" s="69"/>
    </row>
    <row r="22" s="61" customFormat="1" ht="20" hidden="1" customHeight="1" spans="1:30">
      <c r="A22" s="69" t="s">
        <v>88</v>
      </c>
      <c r="B22" s="69">
        <v>22</v>
      </c>
      <c r="C22" s="69">
        <v>20</v>
      </c>
      <c r="D22" s="69">
        <v>29</v>
      </c>
      <c r="E22" s="69">
        <v>29</v>
      </c>
      <c r="F22" s="69">
        <v>31</v>
      </c>
      <c r="G22" s="69">
        <v>23</v>
      </c>
      <c r="H22" s="69">
        <v>37</v>
      </c>
      <c r="I22" s="69">
        <v>38</v>
      </c>
      <c r="J22" s="69">
        <v>19</v>
      </c>
      <c r="K22" s="69">
        <v>18</v>
      </c>
      <c r="L22" s="69">
        <v>22</v>
      </c>
      <c r="M22" s="69">
        <v>38</v>
      </c>
      <c r="N22" s="69"/>
      <c r="O22" s="78"/>
      <c r="P22" s="79"/>
      <c r="Q22" s="64"/>
      <c r="R22" s="65"/>
      <c r="S22" s="65"/>
      <c r="T22" s="65"/>
      <c r="U22" s="65"/>
      <c r="V22" s="65"/>
      <c r="W22" s="65"/>
      <c r="X22" s="65"/>
      <c r="Y22" s="65"/>
      <c r="Z22" s="69"/>
      <c r="AA22" s="69"/>
      <c r="AB22" s="69"/>
      <c r="AC22" s="69"/>
      <c r="AD22" s="69"/>
    </row>
    <row r="23" s="61" customFormat="1" ht="20" hidden="1" customHeight="1" spans="1:30">
      <c r="A23" s="69" t="s">
        <v>89</v>
      </c>
      <c r="B23" s="69">
        <v>12</v>
      </c>
      <c r="C23" s="69">
        <v>21</v>
      </c>
      <c r="D23" s="69">
        <v>24</v>
      </c>
      <c r="E23" s="69">
        <v>23</v>
      </c>
      <c r="F23" s="69">
        <v>17</v>
      </c>
      <c r="G23" s="69">
        <v>22</v>
      </c>
      <c r="H23" s="69">
        <v>24</v>
      </c>
      <c r="I23" s="69">
        <v>19</v>
      </c>
      <c r="J23" s="69">
        <v>20</v>
      </c>
      <c r="K23" s="69">
        <v>10</v>
      </c>
      <c r="L23" s="69">
        <v>20</v>
      </c>
      <c r="M23" s="69">
        <v>18</v>
      </c>
      <c r="N23" s="69"/>
      <c r="O23" s="78"/>
      <c r="P23" s="79"/>
      <c r="Q23" s="64"/>
      <c r="R23" s="65"/>
      <c r="S23" s="65"/>
      <c r="T23" s="65"/>
      <c r="U23" s="65"/>
      <c r="V23" s="65"/>
      <c r="W23" s="65"/>
      <c r="X23" s="65"/>
      <c r="Y23" s="65"/>
      <c r="Z23" s="69"/>
      <c r="AA23" s="69"/>
      <c r="AB23" s="69"/>
      <c r="AC23" s="69"/>
      <c r="AD23" s="69"/>
    </row>
    <row r="24" s="61" customFormat="1" ht="20" hidden="1" customHeight="1" spans="1:30">
      <c r="A24" s="69" t="s">
        <v>90</v>
      </c>
      <c r="B24" s="69">
        <v>15</v>
      </c>
      <c r="C24" s="69">
        <v>16</v>
      </c>
      <c r="D24" s="69">
        <v>43</v>
      </c>
      <c r="E24" s="69">
        <v>44</v>
      </c>
      <c r="F24" s="69">
        <v>27</v>
      </c>
      <c r="G24" s="69">
        <v>37</v>
      </c>
      <c r="H24" s="69">
        <v>55</v>
      </c>
      <c r="I24" s="69">
        <v>38</v>
      </c>
      <c r="J24" s="69">
        <v>28</v>
      </c>
      <c r="K24" s="69">
        <v>27</v>
      </c>
      <c r="L24" s="69">
        <v>27</v>
      </c>
      <c r="M24" s="69">
        <v>34</v>
      </c>
      <c r="N24" s="69"/>
      <c r="O24" s="78"/>
      <c r="P24" s="79"/>
      <c r="Q24" s="64"/>
      <c r="R24" s="65"/>
      <c r="S24" s="65"/>
      <c r="T24" s="65"/>
      <c r="U24" s="65"/>
      <c r="V24" s="65"/>
      <c r="W24" s="65"/>
      <c r="X24" s="65"/>
      <c r="Y24" s="65"/>
      <c r="Z24" s="69"/>
      <c r="AA24" s="69"/>
      <c r="AB24" s="69"/>
      <c r="AC24" s="69"/>
      <c r="AD24" s="69"/>
    </row>
    <row r="25" s="61" customFormat="1" ht="20" hidden="1" customHeight="1" spans="1:30">
      <c r="A25" s="69" t="s">
        <v>91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78"/>
      <c r="P25" s="79"/>
      <c r="Q25" s="64"/>
      <c r="R25" s="65"/>
      <c r="S25" s="65"/>
      <c r="T25" s="65"/>
      <c r="U25" s="65"/>
      <c r="V25" s="65"/>
      <c r="W25" s="65"/>
      <c r="X25" s="65"/>
      <c r="Y25" s="65"/>
      <c r="Z25" s="69"/>
      <c r="AA25" s="69"/>
      <c r="AB25" s="69"/>
      <c r="AC25" s="69"/>
      <c r="AD25" s="69"/>
    </row>
    <row r="26" s="61" customFormat="1" ht="20" hidden="1" customHeight="1" spans="1:30">
      <c r="A26" s="69" t="s">
        <v>92</v>
      </c>
      <c r="B26" s="69">
        <v>15</v>
      </c>
      <c r="C26" s="69">
        <v>16</v>
      </c>
      <c r="D26" s="69">
        <v>20</v>
      </c>
      <c r="E26" s="69">
        <v>21</v>
      </c>
      <c r="F26" s="69">
        <v>16</v>
      </c>
      <c r="G26" s="69">
        <v>20</v>
      </c>
      <c r="H26" s="69">
        <v>21</v>
      </c>
      <c r="I26" s="69">
        <v>24</v>
      </c>
      <c r="J26" s="69">
        <v>16</v>
      </c>
      <c r="K26" s="69">
        <v>21</v>
      </c>
      <c r="L26" s="69">
        <v>22</v>
      </c>
      <c r="M26" s="69">
        <v>24</v>
      </c>
      <c r="N26" s="69"/>
      <c r="O26" s="78"/>
      <c r="P26" s="79"/>
      <c r="Q26" s="64"/>
      <c r="R26" s="65"/>
      <c r="S26" s="65"/>
      <c r="T26" s="65"/>
      <c r="U26" s="65"/>
      <c r="V26" s="65"/>
      <c r="W26" s="65"/>
      <c r="X26" s="65"/>
      <c r="Y26" s="65"/>
      <c r="Z26" s="69"/>
      <c r="AA26" s="69"/>
      <c r="AB26" s="69"/>
      <c r="AC26" s="69"/>
      <c r="AD26" s="69"/>
    </row>
    <row r="27" s="61" customFormat="1" ht="20" hidden="1" customHeight="1" spans="1:30">
      <c r="A27" s="69" t="s">
        <v>93</v>
      </c>
      <c r="B27" s="69">
        <v>17</v>
      </c>
      <c r="C27" s="69">
        <v>18</v>
      </c>
      <c r="D27" s="69">
        <v>46</v>
      </c>
      <c r="E27" s="69">
        <v>38</v>
      </c>
      <c r="F27" s="69">
        <v>28</v>
      </c>
      <c r="G27" s="69">
        <v>18</v>
      </c>
      <c r="H27" s="69">
        <v>25</v>
      </c>
      <c r="I27" s="69">
        <v>26</v>
      </c>
      <c r="J27" s="69">
        <v>24</v>
      </c>
      <c r="K27" s="69">
        <v>23</v>
      </c>
      <c r="L27" s="69">
        <v>19</v>
      </c>
      <c r="M27" s="69">
        <v>19</v>
      </c>
      <c r="N27" s="69"/>
      <c r="O27" s="78"/>
      <c r="P27" s="79"/>
      <c r="Q27" s="64"/>
      <c r="R27" s="65"/>
      <c r="S27" s="65"/>
      <c r="T27" s="65"/>
      <c r="U27" s="65"/>
      <c r="V27" s="65"/>
      <c r="W27" s="65"/>
      <c r="X27" s="65"/>
      <c r="Y27" s="65"/>
      <c r="Z27" s="69"/>
      <c r="AA27" s="69"/>
      <c r="AB27" s="69"/>
      <c r="AC27" s="69"/>
      <c r="AD27" s="69"/>
    </row>
    <row r="28" s="61" customFormat="1" ht="20" hidden="1" customHeight="1" spans="1:30">
      <c r="A28" s="69" t="s">
        <v>94</v>
      </c>
      <c r="B28" s="69">
        <v>10</v>
      </c>
      <c r="C28" s="69">
        <v>18</v>
      </c>
      <c r="D28" s="69">
        <v>20</v>
      </c>
      <c r="E28" s="69">
        <v>21</v>
      </c>
      <c r="F28" s="69">
        <v>18</v>
      </c>
      <c r="G28" s="69">
        <v>12</v>
      </c>
      <c r="H28" s="69">
        <v>24</v>
      </c>
      <c r="I28" s="69">
        <v>13</v>
      </c>
      <c r="J28" s="69">
        <v>13</v>
      </c>
      <c r="K28" s="69">
        <v>12</v>
      </c>
      <c r="L28" s="69">
        <v>17</v>
      </c>
      <c r="M28" s="69">
        <v>20</v>
      </c>
      <c r="N28" s="69"/>
      <c r="O28" s="78"/>
      <c r="P28" s="79"/>
      <c r="Q28" s="64"/>
      <c r="R28" s="65"/>
      <c r="S28" s="65"/>
      <c r="T28" s="65"/>
      <c r="U28" s="65"/>
      <c r="V28" s="65"/>
      <c r="W28" s="65"/>
      <c r="X28" s="65"/>
      <c r="Y28" s="65"/>
      <c r="Z28" s="69"/>
      <c r="AA28" s="69"/>
      <c r="AB28" s="69"/>
      <c r="AC28" s="69"/>
      <c r="AD28" s="69"/>
    </row>
    <row r="29" s="61" customFormat="1" ht="20" hidden="1" customHeight="1" spans="1:30">
      <c r="A29" s="69" t="s">
        <v>95</v>
      </c>
      <c r="B29" s="69">
        <v>12</v>
      </c>
      <c r="C29" s="69">
        <v>13</v>
      </c>
      <c r="D29" s="69">
        <v>14</v>
      </c>
      <c r="E29" s="69">
        <v>12</v>
      </c>
      <c r="F29" s="69">
        <v>13</v>
      </c>
      <c r="G29" s="69">
        <v>12</v>
      </c>
      <c r="H29" s="69">
        <v>15</v>
      </c>
      <c r="I29" s="69">
        <v>12</v>
      </c>
      <c r="J29" s="69">
        <v>15</v>
      </c>
      <c r="K29" s="69">
        <v>12</v>
      </c>
      <c r="L29" s="69">
        <v>12</v>
      </c>
      <c r="M29" s="69">
        <v>13</v>
      </c>
      <c r="N29" s="69"/>
      <c r="O29" s="78"/>
      <c r="P29" s="79"/>
      <c r="Q29" s="64"/>
      <c r="R29" s="65"/>
      <c r="S29" s="65"/>
      <c r="T29" s="65"/>
      <c r="U29" s="65"/>
      <c r="V29" s="65"/>
      <c r="W29" s="65"/>
      <c r="X29" s="65"/>
      <c r="Y29" s="65"/>
      <c r="Z29" s="69"/>
      <c r="AA29" s="69"/>
      <c r="AB29" s="69"/>
      <c r="AC29" s="69"/>
      <c r="AD29" s="69"/>
    </row>
    <row r="30" s="61" customFormat="1" ht="20" hidden="1" customHeight="1" spans="1:30">
      <c r="A30" s="69" t="s">
        <v>96</v>
      </c>
      <c r="B30" s="69">
        <v>19</v>
      </c>
      <c r="C30" s="69">
        <v>32</v>
      </c>
      <c r="D30" s="69">
        <v>20</v>
      </c>
      <c r="E30" s="69">
        <v>20</v>
      </c>
      <c r="F30" s="69">
        <v>30</v>
      </c>
      <c r="G30" s="69">
        <v>14</v>
      </c>
      <c r="H30" s="69">
        <v>17</v>
      </c>
      <c r="I30" s="69">
        <v>13</v>
      </c>
      <c r="J30" s="69">
        <v>14</v>
      </c>
      <c r="K30" s="69">
        <v>10</v>
      </c>
      <c r="L30" s="69">
        <v>12</v>
      </c>
      <c r="M30" s="69">
        <v>13</v>
      </c>
      <c r="N30" s="69"/>
      <c r="O30" s="78"/>
      <c r="P30" s="79"/>
      <c r="Q30" s="64"/>
      <c r="R30" s="65"/>
      <c r="S30" s="65"/>
      <c r="T30" s="65"/>
      <c r="U30" s="65"/>
      <c r="V30" s="65"/>
      <c r="W30" s="65"/>
      <c r="X30" s="65"/>
      <c r="Y30" s="65"/>
      <c r="Z30" s="69"/>
      <c r="AA30" s="69"/>
      <c r="AB30" s="69"/>
      <c r="AC30" s="69"/>
      <c r="AD30" s="69"/>
    </row>
    <row r="31" s="61" customFormat="1" ht="20" hidden="1" customHeight="1" spans="1:30">
      <c r="A31" s="69" t="s">
        <v>97</v>
      </c>
      <c r="B31" s="69"/>
      <c r="C31" s="69"/>
      <c r="D31" s="69"/>
      <c r="E31" s="69"/>
      <c r="F31" s="69"/>
      <c r="G31" s="69"/>
      <c r="H31" s="69">
        <v>1</v>
      </c>
      <c r="I31" s="69">
        <v>11</v>
      </c>
      <c r="J31" s="69">
        <v>17</v>
      </c>
      <c r="K31" s="69">
        <v>13</v>
      </c>
      <c r="L31" s="69">
        <v>17</v>
      </c>
      <c r="M31" s="69">
        <v>15</v>
      </c>
      <c r="N31" s="69"/>
      <c r="O31" s="78"/>
      <c r="P31" s="79"/>
      <c r="Q31" s="64"/>
      <c r="R31" s="65"/>
      <c r="S31" s="65"/>
      <c r="T31" s="65"/>
      <c r="U31" s="65"/>
      <c r="V31" s="65"/>
      <c r="W31" s="65"/>
      <c r="X31" s="65"/>
      <c r="Y31" s="65"/>
      <c r="Z31" s="69"/>
      <c r="AA31" s="69"/>
      <c r="AB31" s="69"/>
      <c r="AC31" s="69"/>
      <c r="AD31" s="69"/>
    </row>
    <row r="32" s="61" customFormat="1" ht="20" hidden="1" customHeight="1" spans="1:30">
      <c r="A32" s="69" t="s">
        <v>98</v>
      </c>
      <c r="B32" s="69"/>
      <c r="C32" s="69"/>
      <c r="D32" s="69"/>
      <c r="E32" s="69"/>
      <c r="F32" s="69"/>
      <c r="G32" s="69"/>
      <c r="H32" s="69"/>
      <c r="I32" s="69"/>
      <c r="J32" s="69">
        <v>15</v>
      </c>
      <c r="K32" s="69">
        <v>13</v>
      </c>
      <c r="L32" s="69">
        <v>16</v>
      </c>
      <c r="M32" s="69">
        <v>19</v>
      </c>
      <c r="N32" s="69"/>
      <c r="O32" s="78"/>
      <c r="P32" s="79"/>
      <c r="Q32" s="64"/>
      <c r="R32" s="65"/>
      <c r="S32" s="65"/>
      <c r="T32" s="65"/>
      <c r="U32" s="65"/>
      <c r="V32" s="65"/>
      <c r="W32" s="65"/>
      <c r="X32" s="65"/>
      <c r="Y32" s="65"/>
      <c r="Z32" s="69"/>
      <c r="AA32" s="69"/>
      <c r="AB32" s="69"/>
      <c r="AC32" s="69"/>
      <c r="AD32" s="69"/>
    </row>
    <row r="33" s="61" customFormat="1" ht="20" hidden="1" customHeight="1" spans="1:30">
      <c r="A33" s="69" t="s">
        <v>99</v>
      </c>
      <c r="B33" s="69"/>
      <c r="C33" s="69"/>
      <c r="D33" s="69"/>
      <c r="E33" s="69"/>
      <c r="F33" s="69">
        <v>20</v>
      </c>
      <c r="G33" s="69">
        <v>14</v>
      </c>
      <c r="H33" s="69">
        <v>25</v>
      </c>
      <c r="I33" s="69">
        <v>15</v>
      </c>
      <c r="J33" s="69">
        <v>20</v>
      </c>
      <c r="K33" s="69">
        <v>14</v>
      </c>
      <c r="L33" s="69">
        <v>11</v>
      </c>
      <c r="M33" s="69">
        <v>17</v>
      </c>
      <c r="N33" s="69"/>
      <c r="O33" s="78"/>
      <c r="P33" s="79"/>
      <c r="Q33" s="64"/>
      <c r="R33" s="65"/>
      <c r="S33" s="65"/>
      <c r="T33" s="65"/>
      <c r="U33" s="65"/>
      <c r="V33" s="65"/>
      <c r="W33" s="65"/>
      <c r="X33" s="65"/>
      <c r="Y33" s="65"/>
      <c r="Z33" s="69"/>
      <c r="AA33" s="69"/>
      <c r="AB33" s="69"/>
      <c r="AC33" s="69"/>
      <c r="AD33" s="69"/>
    </row>
    <row r="34" s="61" customFormat="1" ht="20" hidden="1" customHeight="1" spans="1:30">
      <c r="A34" s="69"/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78"/>
      <c r="P34" s="79"/>
      <c r="Q34" s="64"/>
      <c r="R34" s="65"/>
      <c r="S34" s="65"/>
      <c r="T34" s="65"/>
      <c r="U34" s="65"/>
      <c r="V34" s="65"/>
      <c r="W34" s="65"/>
      <c r="X34" s="65"/>
      <c r="Y34" s="65"/>
      <c r="Z34" s="69"/>
      <c r="AA34" s="69"/>
      <c r="AB34" s="69"/>
      <c r="AC34" s="69"/>
      <c r="AD34" s="69"/>
    </row>
    <row r="35" s="61" customFormat="1" ht="20" hidden="1" customHeight="1" spans="1:30">
      <c r="A35" s="69" t="s">
        <v>100</v>
      </c>
      <c r="B35" s="69" t="s">
        <v>5</v>
      </c>
      <c r="C35" s="69" t="s">
        <v>6</v>
      </c>
      <c r="D35" s="69" t="s">
        <v>7</v>
      </c>
      <c r="E35" s="69" t="s">
        <v>8</v>
      </c>
      <c r="F35" s="69" t="s">
        <v>9</v>
      </c>
      <c r="G35" s="69" t="s">
        <v>10</v>
      </c>
      <c r="H35" s="69" t="s">
        <v>11</v>
      </c>
      <c r="I35" s="69" t="s">
        <v>12</v>
      </c>
      <c r="J35" s="69" t="s">
        <v>13</v>
      </c>
      <c r="K35" s="69" t="s">
        <v>14</v>
      </c>
      <c r="L35" s="69" t="s">
        <v>15</v>
      </c>
      <c r="M35" s="69" t="s">
        <v>16</v>
      </c>
      <c r="N35" s="69"/>
      <c r="O35" s="78"/>
      <c r="P35" s="79"/>
      <c r="Q35" s="64"/>
      <c r="R35" s="65"/>
      <c r="S35" s="65"/>
      <c r="T35" s="65"/>
      <c r="U35" s="65"/>
      <c r="V35" s="65"/>
      <c r="W35" s="65"/>
      <c r="X35" s="65"/>
      <c r="Y35" s="65"/>
      <c r="Z35" s="69"/>
      <c r="AA35" s="69"/>
      <c r="AB35" s="69"/>
      <c r="AC35" s="69"/>
      <c r="AD35" s="69"/>
    </row>
    <row r="36" s="61" customFormat="1" ht="20" hidden="1" customHeight="1" spans="1:30">
      <c r="A36" s="69" t="s">
        <v>101</v>
      </c>
      <c r="B36" s="69" cm="1">
        <f t="array" ref="B36:M36">_xlfn._xlws.FILTER(B10:M33,A10:A33=R41)</f>
        <v>24</v>
      </c>
      <c r="C36" s="69">
        <v>2</v>
      </c>
      <c r="D36" s="69">
        <v>29</v>
      </c>
      <c r="E36" s="69">
        <v>27</v>
      </c>
      <c r="F36" s="69">
        <v>27</v>
      </c>
      <c r="G36" s="69">
        <v>24</v>
      </c>
      <c r="H36" s="69">
        <v>0</v>
      </c>
      <c r="I36" s="69">
        <v>0</v>
      </c>
      <c r="J36" s="69">
        <v>0</v>
      </c>
      <c r="K36" s="69">
        <v>0</v>
      </c>
      <c r="L36" s="69">
        <v>0</v>
      </c>
      <c r="M36" s="69">
        <v>0</v>
      </c>
      <c r="N36" s="69"/>
      <c r="O36" s="78"/>
      <c r="P36" s="79"/>
      <c r="Q36" s="64"/>
      <c r="R36" s="65"/>
      <c r="S36" s="65"/>
      <c r="T36" s="65"/>
      <c r="U36" s="65"/>
      <c r="V36" s="65"/>
      <c r="W36" s="65"/>
      <c r="X36" s="65"/>
      <c r="Y36" s="65"/>
      <c r="Z36" s="69"/>
      <c r="AA36" s="69"/>
      <c r="AB36" s="69"/>
      <c r="AC36" s="69"/>
      <c r="AD36" s="69"/>
    </row>
    <row r="37" s="61" customFormat="1" ht="20" hidden="1" customHeight="1" spans="1:30">
      <c r="A37" s="69" t="s">
        <v>102</v>
      </c>
      <c r="B37" s="69" cm="1">
        <f t="array" ref="B37:M37">_xlfn._xlws.FILTER(B10:M33,A10:A33=R42)</f>
        <v>12</v>
      </c>
      <c r="C37" s="69">
        <v>21</v>
      </c>
      <c r="D37" s="69">
        <v>24</v>
      </c>
      <c r="E37" s="69">
        <v>23</v>
      </c>
      <c r="F37" s="69">
        <v>17</v>
      </c>
      <c r="G37" s="69">
        <v>22</v>
      </c>
      <c r="H37" s="69">
        <v>24</v>
      </c>
      <c r="I37" s="69">
        <v>19</v>
      </c>
      <c r="J37" s="69">
        <v>20</v>
      </c>
      <c r="K37" s="69">
        <v>10</v>
      </c>
      <c r="L37" s="69">
        <v>20</v>
      </c>
      <c r="M37" s="69">
        <v>18</v>
      </c>
      <c r="N37" s="69"/>
      <c r="O37" s="78"/>
      <c r="P37" s="79"/>
      <c r="Q37" s="64"/>
      <c r="R37" s="65"/>
      <c r="S37" s="65"/>
      <c r="T37" s="65"/>
      <c r="U37" s="65"/>
      <c r="V37" s="65"/>
      <c r="W37" s="65"/>
      <c r="X37" s="65"/>
      <c r="Y37" s="65"/>
      <c r="Z37" s="69"/>
      <c r="AA37" s="69"/>
      <c r="AB37" s="69"/>
      <c r="AC37" s="69"/>
      <c r="AD37" s="69"/>
    </row>
    <row r="38" s="61" customFormat="1" ht="20" customHeight="1" spans="1:30">
      <c r="A38" s="69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78"/>
      <c r="P38" s="79"/>
      <c r="Q38" s="64"/>
      <c r="R38" s="65"/>
      <c r="S38" s="65"/>
      <c r="T38" s="65"/>
      <c r="U38" s="65"/>
      <c r="V38" s="65"/>
      <c r="W38" s="65"/>
      <c r="X38" s="65"/>
      <c r="Y38" s="65"/>
      <c r="Z38" s="69"/>
      <c r="AA38" s="69"/>
      <c r="AB38" s="69"/>
      <c r="AC38" s="69"/>
      <c r="AD38" s="69"/>
    </row>
    <row r="39" s="61" customFormat="1" ht="20" customHeight="1" spans="1:30">
      <c r="A39" s="69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78"/>
      <c r="P39" s="79"/>
      <c r="Q39" s="64"/>
      <c r="R39" s="65"/>
      <c r="S39" s="65"/>
      <c r="T39" s="65"/>
      <c r="U39" s="65"/>
      <c r="V39" s="65"/>
      <c r="W39" s="65"/>
      <c r="X39" s="65"/>
      <c r="Y39" s="65"/>
      <c r="Z39" s="69"/>
      <c r="AA39" s="69"/>
      <c r="AB39" s="69"/>
      <c r="AC39" s="69"/>
      <c r="AD39" s="69"/>
    </row>
    <row r="40" s="61" customFormat="1" ht="20" customHeight="1" spans="1:30">
      <c r="A40" s="69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78"/>
      <c r="P40" s="79"/>
      <c r="Q40" s="64"/>
      <c r="R40" s="33" t="s">
        <v>103</v>
      </c>
      <c r="S40" s="65"/>
      <c r="T40" s="65"/>
      <c r="U40" s="65"/>
      <c r="V40" s="65"/>
      <c r="W40" s="65"/>
      <c r="X40" s="65"/>
      <c r="Y40" s="65"/>
      <c r="Z40" s="69"/>
      <c r="AA40" s="69"/>
      <c r="AB40" s="69"/>
      <c r="AC40" s="69"/>
      <c r="AD40" s="69"/>
    </row>
    <row r="41" s="61" customFormat="1" ht="20" customHeight="1" spans="1:30">
      <c r="A41" s="69"/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78"/>
      <c r="P41" s="79"/>
      <c r="Q41" s="64"/>
      <c r="R41" s="33" t="s">
        <v>77</v>
      </c>
      <c r="S41" s="65"/>
      <c r="T41" s="65"/>
      <c r="U41" s="65"/>
      <c r="V41" s="65"/>
      <c r="W41" s="65"/>
      <c r="X41" s="65"/>
      <c r="Y41" s="65"/>
      <c r="Z41" s="69"/>
      <c r="AA41" s="69"/>
      <c r="AB41" s="69"/>
      <c r="AC41" s="69"/>
      <c r="AD41" s="69"/>
    </row>
    <row r="42" s="61" customFormat="1" ht="20" customHeight="1" spans="1:30">
      <c r="A42" s="69"/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78"/>
      <c r="P42" s="79"/>
      <c r="Q42" s="64"/>
      <c r="R42" s="33" t="s">
        <v>89</v>
      </c>
      <c r="S42" s="65"/>
      <c r="T42" s="65"/>
      <c r="U42" s="65"/>
      <c r="V42" s="65"/>
      <c r="W42" s="65"/>
      <c r="X42" s="65"/>
      <c r="Y42" s="65"/>
      <c r="Z42" s="69"/>
      <c r="AA42" s="69"/>
      <c r="AB42" s="69"/>
      <c r="AC42" s="69"/>
      <c r="AD42" s="69"/>
    </row>
    <row r="43" s="61" customFormat="1" ht="20" customHeight="1" spans="1:30">
      <c r="A43" s="69"/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78"/>
      <c r="P43" s="79"/>
      <c r="Q43" s="64"/>
      <c r="R43" s="65"/>
      <c r="S43" s="65"/>
      <c r="T43" s="65"/>
      <c r="U43" s="65"/>
      <c r="V43" s="65"/>
      <c r="W43" s="65"/>
      <c r="X43" s="65"/>
      <c r="Y43" s="65"/>
      <c r="Z43" s="69"/>
      <c r="AA43" s="69"/>
      <c r="AB43" s="69"/>
      <c r="AC43" s="69"/>
      <c r="AD43" s="69"/>
    </row>
    <row r="44" s="61" customFormat="1" ht="20" customHeight="1" spans="1:30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78"/>
      <c r="P44" s="79"/>
      <c r="Q44" s="64"/>
      <c r="R44" s="65"/>
      <c r="S44" s="65"/>
      <c r="T44" s="65"/>
      <c r="U44" s="65"/>
      <c r="V44" s="65"/>
      <c r="W44" s="65"/>
      <c r="X44" s="65"/>
      <c r="Y44" s="65"/>
      <c r="Z44" s="69"/>
      <c r="AA44" s="69"/>
      <c r="AB44" s="69"/>
      <c r="AC44" s="69"/>
      <c r="AD44" s="69"/>
    </row>
    <row r="45" s="61" customFormat="1" ht="20" customHeight="1" spans="1:30">
      <c r="A45" s="69"/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78"/>
      <c r="P45" s="79"/>
      <c r="Q45" s="64"/>
      <c r="R45" s="65"/>
      <c r="S45" s="65"/>
      <c r="T45" s="65"/>
      <c r="U45" s="65"/>
      <c r="V45" s="65"/>
      <c r="W45" s="65"/>
      <c r="X45" s="65"/>
      <c r="Y45" s="65"/>
      <c r="Z45" s="69"/>
      <c r="AA45" s="69"/>
      <c r="AB45" s="69"/>
      <c r="AC45" s="69"/>
      <c r="AD45" s="69"/>
    </row>
    <row r="46" ht="172" customHeight="1" spans="1:30">
      <c r="A46" s="81"/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</row>
    <row r="47" ht="68" customHeight="1" spans="1:30">
      <c r="A47" s="81"/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</row>
    <row r="48" ht="6" customHeight="1" spans="1:30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</row>
    <row r="49" s="62" customFormat="1" ht="48" customHeight="1" spans="1:30">
      <c r="A49" s="83"/>
      <c r="B49" s="83"/>
      <c r="C49" s="84"/>
      <c r="D49" s="84"/>
      <c r="E49" s="85"/>
      <c r="F49" s="85"/>
      <c r="G49" s="85"/>
      <c r="H49" s="85"/>
      <c r="I49" s="85"/>
      <c r="J49" s="85"/>
      <c r="K49" s="86"/>
      <c r="L49" s="86"/>
      <c r="M49" s="87"/>
      <c r="N49" s="88"/>
      <c r="O49" s="89"/>
      <c r="P49" s="64"/>
      <c r="Q49" s="64"/>
      <c r="R49" s="65"/>
      <c r="S49" s="65"/>
      <c r="T49" s="65"/>
      <c r="U49" s="65"/>
      <c r="V49" s="65"/>
      <c r="W49" s="65"/>
      <c r="X49" s="65"/>
      <c r="Y49" s="65"/>
      <c r="Z49" s="69"/>
      <c r="AA49" s="69"/>
      <c r="AB49" s="69"/>
      <c r="AC49" s="69"/>
      <c r="AD49" s="90"/>
    </row>
    <row r="50" customFormat="1" ht="29" customHeight="1" spans="1:30">
      <c r="A50" s="91" t="s">
        <v>104</v>
      </c>
      <c r="B50" s="91"/>
      <c r="C50" s="91"/>
      <c r="D50" s="91"/>
      <c r="E50" s="85"/>
      <c r="F50" s="85"/>
      <c r="G50" s="85"/>
      <c r="H50" s="85"/>
      <c r="I50" s="85"/>
      <c r="J50" s="85"/>
      <c r="K50" s="86"/>
      <c r="L50" s="86"/>
      <c r="M50" s="87"/>
      <c r="N50" s="81"/>
      <c r="O50" s="63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92"/>
      <c r="AA50" s="92"/>
      <c r="AB50" s="92"/>
      <c r="AC50" s="93"/>
      <c r="AD50" s="94"/>
    </row>
    <row r="51" customFormat="1" customHeight="1" spans="1:30">
      <c r="A51" s="73" t="s">
        <v>18</v>
      </c>
      <c r="B51" s="73" t="s">
        <v>5</v>
      </c>
      <c r="C51" s="73" t="s">
        <v>6</v>
      </c>
      <c r="D51" s="73" t="s">
        <v>7</v>
      </c>
      <c r="E51" s="73" t="s">
        <v>8</v>
      </c>
      <c r="F51" s="73" t="s">
        <v>9</v>
      </c>
      <c r="G51" s="73" t="s">
        <v>10</v>
      </c>
      <c r="H51" s="73" t="s">
        <v>11</v>
      </c>
      <c r="I51" s="73" t="s">
        <v>12</v>
      </c>
      <c r="J51" s="73" t="s">
        <v>13</v>
      </c>
      <c r="K51" s="73" t="s">
        <v>14</v>
      </c>
      <c r="L51" s="73" t="s">
        <v>15</v>
      </c>
      <c r="M51" s="73" t="s">
        <v>16</v>
      </c>
      <c r="N51" s="73" t="s">
        <v>68</v>
      </c>
      <c r="O51" s="74" t="s">
        <v>71</v>
      </c>
      <c r="P51" s="74" t="s">
        <v>72</v>
      </c>
      <c r="Q51" s="64" t="s">
        <v>5</v>
      </c>
      <c r="R51" s="64" t="s">
        <v>6</v>
      </c>
      <c r="S51" s="64" t="s">
        <v>7</v>
      </c>
      <c r="T51" s="64" t="s">
        <v>8</v>
      </c>
      <c r="U51" s="64" t="s">
        <v>9</v>
      </c>
      <c r="V51" s="64" t="s">
        <v>10</v>
      </c>
      <c r="W51" s="64" t="s">
        <v>11</v>
      </c>
      <c r="X51" s="64" t="s">
        <v>12</v>
      </c>
      <c r="Y51" s="64" t="s">
        <v>13</v>
      </c>
      <c r="Z51" s="64" t="s">
        <v>14</v>
      </c>
      <c r="AA51" s="64" t="s">
        <v>15</v>
      </c>
      <c r="AB51" s="92" t="s">
        <v>16</v>
      </c>
      <c r="AC51" s="63"/>
      <c r="AD51" s="94"/>
    </row>
    <row r="52" customFormat="1" customHeight="1" spans="1:30">
      <c r="A52" s="33" t="s">
        <v>105</v>
      </c>
      <c r="B52" s="95">
        <f>SUM(B59:B70)</f>
        <v>3437599.3</v>
      </c>
      <c r="C52" s="95">
        <f t="shared" ref="C52:M52" si="1">SUM(C59:C70)</f>
        <v>921263.4</v>
      </c>
      <c r="D52" s="95">
        <f t="shared" si="1"/>
        <v>1956623</v>
      </c>
      <c r="E52" s="95">
        <f t="shared" si="1"/>
        <v>2262177.96</v>
      </c>
      <c r="F52" s="95">
        <f t="shared" si="1"/>
        <v>2415638.4</v>
      </c>
      <c r="G52" s="95">
        <f t="shared" si="1"/>
        <v>2543097</v>
      </c>
      <c r="H52" s="95">
        <f t="shared" si="1"/>
        <v>0</v>
      </c>
      <c r="I52" s="95">
        <f t="shared" si="1"/>
        <v>0</v>
      </c>
      <c r="J52" s="95">
        <f t="shared" si="1"/>
        <v>0</v>
      </c>
      <c r="K52" s="95">
        <f t="shared" si="1"/>
        <v>0</v>
      </c>
      <c r="L52" s="95">
        <f t="shared" si="1"/>
        <v>0</v>
      </c>
      <c r="M52" s="95">
        <f t="shared" si="1"/>
        <v>0</v>
      </c>
      <c r="N52" s="96">
        <f>SUM(B52:M52)</f>
        <v>13536399.06</v>
      </c>
      <c r="O52" s="75">
        <f>(G52-G53)/G53</f>
        <v>0.672387310811579</v>
      </c>
      <c r="P52" s="75">
        <f>(G52-F52)/F52</f>
        <v>0.0527639401658792</v>
      </c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92"/>
      <c r="AC52" s="63"/>
      <c r="AD52" s="94"/>
    </row>
    <row r="53" customFormat="1" customHeight="1" spans="1:30">
      <c r="A53" s="37" t="s">
        <v>106</v>
      </c>
      <c r="B53" s="97">
        <v>1280466.3</v>
      </c>
      <c r="C53" s="97">
        <v>1194208.116</v>
      </c>
      <c r="D53" s="98">
        <v>1534153.859</v>
      </c>
      <c r="E53" s="98">
        <v>1291011.863</v>
      </c>
      <c r="F53" s="98">
        <v>1388758.72</v>
      </c>
      <c r="G53" s="97">
        <v>1520638.78</v>
      </c>
      <c r="H53" s="99">
        <v>2180425.9</v>
      </c>
      <c r="I53" s="97">
        <v>2694977.961</v>
      </c>
      <c r="J53" s="97">
        <v>2769274.57</v>
      </c>
      <c r="K53" s="97">
        <v>2222552.84</v>
      </c>
      <c r="L53" s="97">
        <v>2097398.112</v>
      </c>
      <c r="M53" s="97">
        <v>3349813.2</v>
      </c>
      <c r="N53" s="97">
        <f>SUM(B53:M53)</f>
        <v>23523680.221</v>
      </c>
      <c r="O53" s="74"/>
      <c r="P53" s="7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92"/>
      <c r="AC53" s="63"/>
      <c r="AD53" s="94"/>
    </row>
    <row r="54" customFormat="1" customHeight="1" spans="1:30">
      <c r="A54" s="33" t="s">
        <v>107</v>
      </c>
      <c r="B54" s="33">
        <v>199</v>
      </c>
      <c r="C54" s="33">
        <v>76</v>
      </c>
      <c r="D54" s="100">
        <v>176</v>
      </c>
      <c r="E54" s="33">
        <v>195</v>
      </c>
      <c r="F54" s="33">
        <v>182</v>
      </c>
      <c r="G54" s="33">
        <v>185</v>
      </c>
      <c r="H54" s="33"/>
      <c r="I54" s="33"/>
      <c r="J54" s="33"/>
      <c r="K54" s="33"/>
      <c r="L54" s="33"/>
      <c r="M54" s="33"/>
      <c r="N54" s="33">
        <f>SUM(B54:M54)</f>
        <v>1013</v>
      </c>
      <c r="O54" s="101">
        <f>(G54-G55)/G55</f>
        <v>-0.0159574468085106</v>
      </c>
      <c r="P54" s="75">
        <f>(G54-F54)/F54</f>
        <v>0.0164835164835165</v>
      </c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92"/>
      <c r="AC54" s="63"/>
      <c r="AD54" s="94"/>
    </row>
    <row r="55" customFormat="1" customHeight="1" spans="1:30">
      <c r="A55" s="37" t="s">
        <v>108</v>
      </c>
      <c r="B55" s="37">
        <v>125</v>
      </c>
      <c r="C55" s="37">
        <v>150</v>
      </c>
      <c r="D55" s="98">
        <v>185</v>
      </c>
      <c r="E55" s="37">
        <v>172</v>
      </c>
      <c r="F55" s="37">
        <v>192</v>
      </c>
      <c r="G55" s="37">
        <v>188</v>
      </c>
      <c r="H55" s="37">
        <v>214</v>
      </c>
      <c r="I55" s="37">
        <v>201</v>
      </c>
      <c r="J55" s="37">
        <v>219</v>
      </c>
      <c r="K55" s="37">
        <v>158</v>
      </c>
      <c r="L55" s="37">
        <v>187</v>
      </c>
      <c r="M55" s="37">
        <v>215</v>
      </c>
      <c r="N55" s="37">
        <f>SUM(B55:M55)</f>
        <v>2206</v>
      </c>
      <c r="O55" s="75"/>
      <c r="P55" s="102"/>
      <c r="Q55" s="64">
        <v>1944344.086</v>
      </c>
      <c r="R55" s="64">
        <v>2223326.28</v>
      </c>
      <c r="S55" s="64">
        <v>755763.5</v>
      </c>
      <c r="T55" s="103">
        <v>826146.75</v>
      </c>
      <c r="U55" s="103">
        <v>720293.68</v>
      </c>
      <c r="V55" s="64">
        <v>632775.4</v>
      </c>
      <c r="W55" s="104">
        <v>937083</v>
      </c>
      <c r="X55" s="105">
        <v>932209.78</v>
      </c>
      <c r="Y55" s="92">
        <v>1349330.2</v>
      </c>
      <c r="Z55" s="92">
        <v>1990578.8</v>
      </c>
      <c r="AA55" s="92">
        <v>1950557.91</v>
      </c>
      <c r="AB55" s="92">
        <v>2047266.44</v>
      </c>
      <c r="AC55" s="63"/>
      <c r="AD55" s="94"/>
    </row>
    <row r="56" customFormat="1" customHeight="1" spans="1:30">
      <c r="O56" s="106"/>
      <c r="P56" s="87"/>
      <c r="Q56" s="64"/>
      <c r="R56" s="64"/>
      <c r="S56" s="64"/>
      <c r="T56" s="64"/>
      <c r="U56" s="64"/>
      <c r="V56" s="64"/>
      <c r="W56" s="64"/>
      <c r="X56" s="64"/>
      <c r="Y56" s="64"/>
      <c r="Z56" s="92"/>
      <c r="AA56" s="92"/>
      <c r="AB56" s="92"/>
      <c r="AC56" s="63"/>
      <c r="AD56" s="94"/>
    </row>
    <row r="57" customFormat="1" hidden="1" customHeight="1" spans="1:30">
      <c r="A57" s="107" t="s">
        <v>109</v>
      </c>
      <c r="B57" s="107"/>
      <c r="C57" s="107"/>
      <c r="D57" s="107"/>
      <c r="E57" s="107"/>
      <c r="F57" s="81"/>
      <c r="G57" s="81"/>
      <c r="H57" s="81"/>
      <c r="I57" s="81"/>
      <c r="J57" s="81"/>
      <c r="K57" s="81"/>
      <c r="L57" s="81"/>
      <c r="M57" s="81"/>
      <c r="N57" s="81"/>
      <c r="O57" s="63"/>
      <c r="P57" s="64"/>
      <c r="Q57" s="65"/>
      <c r="R57" s="65"/>
      <c r="S57" s="65"/>
      <c r="T57" s="65"/>
      <c r="U57" s="65"/>
      <c r="V57" s="65"/>
      <c r="W57" s="65"/>
      <c r="X57" s="65"/>
      <c r="Y57" s="65"/>
      <c r="Z57" s="23"/>
      <c r="AA57" s="23"/>
      <c r="AB57" s="63"/>
      <c r="AC57" s="63"/>
      <c r="AD57" s="94"/>
    </row>
    <row r="58" customFormat="1" hidden="1" customHeight="1" spans="1:30">
      <c r="A58" s="108" t="s">
        <v>54</v>
      </c>
      <c r="B58" s="109" t="s">
        <v>5</v>
      </c>
      <c r="C58" s="109" t="s">
        <v>6</v>
      </c>
      <c r="D58" s="109" t="s">
        <v>7</v>
      </c>
      <c r="E58" s="109" t="s">
        <v>8</v>
      </c>
      <c r="F58" s="109" t="s">
        <v>9</v>
      </c>
      <c r="G58" s="109" t="s">
        <v>10</v>
      </c>
      <c r="H58" s="109" t="s">
        <v>11</v>
      </c>
      <c r="I58" s="109" t="s">
        <v>12</v>
      </c>
      <c r="J58" s="109" t="s">
        <v>13</v>
      </c>
      <c r="K58" s="109" t="s">
        <v>14</v>
      </c>
      <c r="L58" s="109" t="s">
        <v>15</v>
      </c>
      <c r="M58" s="109" t="s">
        <v>16</v>
      </c>
      <c r="N58" s="108" t="s">
        <v>68</v>
      </c>
      <c r="O58" s="74" t="s">
        <v>71</v>
      </c>
      <c r="P58" s="74" t="s">
        <v>72</v>
      </c>
      <c r="Q58" s="72"/>
      <c r="R58" s="72"/>
      <c r="S58" s="72"/>
      <c r="T58" s="72"/>
      <c r="U58" s="72"/>
      <c r="V58" s="72"/>
      <c r="W58" s="72"/>
      <c r="X58" s="72"/>
      <c r="Y58" s="72"/>
      <c r="Z58" s="63"/>
      <c r="AA58" s="63"/>
      <c r="AB58" s="63"/>
      <c r="AC58" s="63"/>
      <c r="AD58" s="94"/>
    </row>
    <row r="59" customFormat="1" hidden="1" customHeight="1" spans="1:30">
      <c r="A59" s="110" t="s">
        <v>76</v>
      </c>
      <c r="B59" s="111">
        <v>153445.4</v>
      </c>
      <c r="C59" s="112">
        <v>49575</v>
      </c>
      <c r="D59" s="112">
        <v>190212.6</v>
      </c>
      <c r="E59" s="113">
        <v>113088</v>
      </c>
      <c r="F59" s="113">
        <v>106931</v>
      </c>
      <c r="G59" s="113">
        <v>165694.4</v>
      </c>
      <c r="H59" s="113"/>
      <c r="I59" s="113"/>
      <c r="J59" s="113"/>
      <c r="K59" s="114"/>
      <c r="L59" s="114"/>
      <c r="M59" s="114"/>
      <c r="N59" s="115"/>
      <c r="O59" s="116"/>
      <c r="P59" s="101"/>
      <c r="Q59" s="72"/>
      <c r="R59" s="72"/>
      <c r="S59" s="72"/>
      <c r="T59" s="72"/>
      <c r="U59" s="72"/>
      <c r="V59" s="72"/>
      <c r="W59" s="72"/>
      <c r="X59" s="72"/>
      <c r="Y59" s="72"/>
      <c r="Z59" s="63"/>
      <c r="AA59" s="63"/>
      <c r="AB59" s="63"/>
      <c r="AC59" s="63"/>
      <c r="AD59" s="94"/>
    </row>
    <row r="60" customFormat="1" hidden="1" customHeight="1" spans="1:30">
      <c r="A60" s="117" t="s">
        <v>77</v>
      </c>
      <c r="B60" s="45">
        <v>478815</v>
      </c>
      <c r="C60" s="118">
        <v>228431</v>
      </c>
      <c r="D60" s="118">
        <v>392192</v>
      </c>
      <c r="E60" s="118">
        <v>461507</v>
      </c>
      <c r="F60" s="118">
        <v>868140</v>
      </c>
      <c r="G60" s="118">
        <v>1250</v>
      </c>
      <c r="H60" s="118"/>
      <c r="I60" s="118"/>
      <c r="J60" s="118"/>
      <c r="K60" s="119"/>
      <c r="L60" s="119"/>
      <c r="M60" s="119"/>
      <c r="N60" s="120"/>
      <c r="O60" s="121"/>
      <c r="P60" s="122"/>
      <c r="Q60" s="123"/>
      <c r="R60" s="123"/>
      <c r="S60" s="123"/>
      <c r="T60" s="123"/>
      <c r="U60" s="123"/>
      <c r="V60" s="123"/>
      <c r="W60" s="123"/>
      <c r="X60" s="123"/>
      <c r="Y60" s="123"/>
      <c r="Z60" s="124"/>
      <c r="AA60" s="124"/>
      <c r="AB60" s="23"/>
      <c r="AC60" s="23"/>
      <c r="AD60" s="94"/>
    </row>
    <row r="61" customFormat="1" hidden="1" customHeight="1" spans="1:30">
      <c r="A61" s="125" t="s">
        <v>78</v>
      </c>
      <c r="B61" s="111">
        <v>239785</v>
      </c>
      <c r="C61" s="113">
        <v>41170</v>
      </c>
      <c r="D61" s="113">
        <v>241960</v>
      </c>
      <c r="E61" s="113">
        <v>170380</v>
      </c>
      <c r="F61" s="113">
        <v>72286</v>
      </c>
      <c r="G61" s="113">
        <v>293066</v>
      </c>
      <c r="H61" s="113"/>
      <c r="I61" s="113"/>
      <c r="J61" s="113"/>
      <c r="K61" s="114"/>
      <c r="L61" s="114"/>
      <c r="M61" s="114"/>
      <c r="N61" s="126"/>
      <c r="O61" s="116"/>
      <c r="P61" s="102"/>
      <c r="Q61" s="123"/>
      <c r="R61" s="123"/>
      <c r="S61" s="123"/>
      <c r="T61" s="123"/>
      <c r="U61" s="123"/>
      <c r="V61" s="123"/>
      <c r="W61" s="123"/>
      <c r="X61" s="123"/>
      <c r="Y61" s="123"/>
      <c r="Z61" s="124"/>
      <c r="AA61" s="124"/>
      <c r="AB61" s="23"/>
      <c r="AC61" s="23"/>
      <c r="AD61" s="94"/>
    </row>
    <row r="62" customFormat="1" hidden="1" customHeight="1" spans="1:30">
      <c r="A62" s="117" t="s">
        <v>79</v>
      </c>
      <c r="B62" s="127">
        <v>87328</v>
      </c>
      <c r="C62" s="127">
        <v>4800</v>
      </c>
      <c r="D62" s="120">
        <v>18350</v>
      </c>
      <c r="E62" s="120">
        <v>84180</v>
      </c>
      <c r="F62" s="120">
        <v>40900</v>
      </c>
      <c r="G62" s="45">
        <v>45695</v>
      </c>
      <c r="H62" s="127"/>
      <c r="I62" s="127"/>
      <c r="J62" s="127"/>
      <c r="K62" s="127"/>
      <c r="L62" s="127"/>
      <c r="M62" s="127"/>
      <c r="N62" s="120"/>
      <c r="O62" s="121"/>
      <c r="P62" s="122"/>
      <c r="Q62" s="64"/>
      <c r="R62" s="65"/>
      <c r="S62" s="65"/>
      <c r="T62" s="65"/>
      <c r="U62" s="65"/>
      <c r="V62" s="65"/>
      <c r="W62" s="65"/>
      <c r="X62" s="65"/>
      <c r="Y62" s="65"/>
      <c r="Z62" s="23"/>
      <c r="AA62" s="23"/>
      <c r="AB62" s="23"/>
      <c r="AC62" s="23"/>
      <c r="AD62" s="94"/>
    </row>
    <row r="63" customFormat="1" hidden="1" customHeight="1" spans="1:30">
      <c r="A63" s="110" t="s">
        <v>80</v>
      </c>
      <c r="B63" s="111">
        <v>392084.8</v>
      </c>
      <c r="C63" s="112">
        <v>-7830</v>
      </c>
      <c r="D63" s="112">
        <v>265529.2</v>
      </c>
      <c r="E63" s="113">
        <v>241292.16</v>
      </c>
      <c r="F63" s="113">
        <v>74718.4</v>
      </c>
      <c r="G63" s="113">
        <v>600440</v>
      </c>
      <c r="H63" s="113"/>
      <c r="I63" s="113"/>
      <c r="J63" s="113"/>
      <c r="K63" s="114"/>
      <c r="L63" s="114"/>
      <c r="M63" s="114"/>
      <c r="N63" s="115"/>
      <c r="O63" s="116"/>
      <c r="P63" s="101"/>
      <c r="Q63" s="72"/>
      <c r="R63" s="72"/>
      <c r="S63" s="72"/>
      <c r="T63" s="72"/>
      <c r="U63" s="72"/>
      <c r="V63" s="72"/>
      <c r="W63" s="72"/>
      <c r="X63" s="72"/>
      <c r="Y63" s="72"/>
      <c r="Z63" s="63"/>
      <c r="AA63" s="63"/>
      <c r="AB63" s="63"/>
      <c r="AC63" s="63"/>
      <c r="AD63" s="94"/>
    </row>
    <row r="64" customFormat="1" hidden="1" customHeight="1" spans="1:30">
      <c r="A64" s="117" t="s">
        <v>81</v>
      </c>
      <c r="B64" s="45">
        <v>285873.6</v>
      </c>
      <c r="C64" s="118">
        <v>337560</v>
      </c>
      <c r="D64" s="118">
        <v>319210</v>
      </c>
      <c r="E64" s="118">
        <v>419880</v>
      </c>
      <c r="F64" s="118">
        <v>436000</v>
      </c>
      <c r="G64" s="118">
        <v>457500</v>
      </c>
      <c r="H64" s="118"/>
      <c r="I64" s="118"/>
      <c r="J64" s="118"/>
      <c r="K64" s="119"/>
      <c r="L64" s="119"/>
      <c r="M64" s="119"/>
      <c r="N64" s="120"/>
      <c r="O64" s="121"/>
      <c r="P64" s="122"/>
      <c r="Q64" s="123"/>
      <c r="R64" s="123"/>
      <c r="S64" s="123"/>
      <c r="T64" s="123"/>
      <c r="U64" s="123"/>
      <c r="V64" s="123"/>
      <c r="W64" s="123"/>
      <c r="X64" s="123"/>
      <c r="Y64" s="123"/>
      <c r="Z64" s="124"/>
      <c r="AA64" s="124"/>
      <c r="AB64" s="23"/>
      <c r="AC64" s="23"/>
      <c r="AD64" s="94"/>
    </row>
    <row r="65" customFormat="1" hidden="1" customHeight="1" spans="1:30">
      <c r="A65" s="110" t="s">
        <v>82</v>
      </c>
      <c r="B65" s="111">
        <v>88546</v>
      </c>
      <c r="C65" s="112">
        <v>36340</v>
      </c>
      <c r="D65" s="112">
        <v>119695.2</v>
      </c>
      <c r="E65" s="113">
        <v>102106</v>
      </c>
      <c r="F65" s="113">
        <v>169414</v>
      </c>
      <c r="G65" s="113">
        <v>141080</v>
      </c>
      <c r="H65" s="113"/>
      <c r="I65" s="113"/>
      <c r="J65" s="113"/>
      <c r="K65" s="114"/>
      <c r="L65" s="114"/>
      <c r="M65" s="114"/>
      <c r="N65" s="115"/>
      <c r="O65" s="116"/>
      <c r="P65" s="101"/>
      <c r="Q65" s="72"/>
      <c r="R65" s="72"/>
      <c r="S65" s="72"/>
      <c r="T65" s="72"/>
      <c r="U65" s="72"/>
      <c r="V65" s="72"/>
      <c r="W65" s="72"/>
      <c r="X65" s="72"/>
      <c r="Y65" s="72"/>
      <c r="Z65" s="63"/>
      <c r="AA65" s="63"/>
      <c r="AB65" s="63"/>
      <c r="AC65" s="63"/>
      <c r="AD65" s="94"/>
    </row>
    <row r="66" customFormat="1" hidden="1" customHeight="1" spans="1:30">
      <c r="A66" s="117" t="s">
        <v>83</v>
      </c>
      <c r="B66" s="45">
        <v>13698.4</v>
      </c>
      <c r="C66" s="118">
        <v>50441.2</v>
      </c>
      <c r="D66" s="118">
        <v>55106.5</v>
      </c>
      <c r="E66" s="118">
        <v>75167.2</v>
      </c>
      <c r="F66" s="118">
        <v>75115.6</v>
      </c>
      <c r="G66" s="118">
        <v>42744.2</v>
      </c>
      <c r="H66" s="118"/>
      <c r="I66" s="118"/>
      <c r="J66" s="118"/>
      <c r="K66" s="119"/>
      <c r="L66" s="119"/>
      <c r="M66" s="119"/>
      <c r="N66" s="120"/>
      <c r="O66" s="121"/>
      <c r="P66" s="122"/>
      <c r="Q66" s="123"/>
      <c r="R66" s="123"/>
      <c r="S66" s="123"/>
      <c r="T66" s="123"/>
      <c r="U66" s="123"/>
      <c r="V66" s="123"/>
      <c r="W66" s="123"/>
      <c r="X66" s="123"/>
      <c r="Y66" s="123"/>
      <c r="Z66" s="124"/>
      <c r="AA66" s="124"/>
      <c r="AB66" s="23"/>
      <c r="AC66" s="23"/>
      <c r="AD66" s="94"/>
    </row>
    <row r="67" customFormat="1" hidden="1" customHeight="1" spans="1:30">
      <c r="A67" s="110" t="s">
        <v>84</v>
      </c>
      <c r="B67" s="111">
        <v>412220.8</v>
      </c>
      <c r="C67" s="112">
        <v>38363.6</v>
      </c>
      <c r="D67" s="112">
        <v>113096.6</v>
      </c>
      <c r="E67" s="113">
        <v>173048.8</v>
      </c>
      <c r="F67" s="113">
        <v>164716</v>
      </c>
      <c r="G67" s="113">
        <v>195851.2</v>
      </c>
      <c r="H67" s="113"/>
      <c r="I67" s="113"/>
      <c r="J67" s="113"/>
      <c r="K67" s="114"/>
      <c r="L67" s="114"/>
      <c r="M67" s="114"/>
      <c r="N67" s="115"/>
      <c r="O67" s="116"/>
      <c r="P67" s="101"/>
      <c r="Q67" s="72"/>
      <c r="R67" s="72"/>
      <c r="S67" s="72"/>
      <c r="T67" s="72"/>
      <c r="U67" s="72"/>
      <c r="V67" s="72"/>
      <c r="W67" s="72"/>
      <c r="X67" s="72"/>
      <c r="Y67" s="72"/>
      <c r="Z67" s="63"/>
      <c r="AA67" s="63"/>
      <c r="AB67" s="63"/>
      <c r="AC67" s="63"/>
      <c r="AD67" s="94"/>
    </row>
    <row r="68" customFormat="1" hidden="1" customHeight="1" spans="1:30">
      <c r="A68" s="117" t="s">
        <v>85</v>
      </c>
      <c r="B68" s="45">
        <v>24224</v>
      </c>
      <c r="C68" s="118">
        <v>102750</v>
      </c>
      <c r="D68" s="118">
        <v>40226</v>
      </c>
      <c r="E68" s="118">
        <v>50280</v>
      </c>
      <c r="F68" s="118">
        <v>16065</v>
      </c>
      <c r="G68" s="118">
        <v>86304</v>
      </c>
      <c r="H68" s="118"/>
      <c r="I68" s="118"/>
      <c r="J68" s="118"/>
      <c r="K68" s="119"/>
      <c r="L68" s="119"/>
      <c r="M68" s="119"/>
      <c r="N68" s="120"/>
      <c r="O68" s="121"/>
      <c r="P68" s="122"/>
      <c r="Q68" s="123"/>
      <c r="R68" s="123"/>
      <c r="S68" s="123"/>
      <c r="T68" s="123"/>
      <c r="U68" s="123"/>
      <c r="V68" s="123"/>
      <c r="W68" s="123"/>
      <c r="X68" s="123"/>
      <c r="Y68" s="123"/>
      <c r="Z68" s="124"/>
      <c r="AA68" s="124"/>
      <c r="AB68" s="23"/>
      <c r="AC68" s="23"/>
      <c r="AD68" s="94"/>
    </row>
    <row r="69" customFormat="1" hidden="1" customHeight="1" spans="1:30">
      <c r="A69" s="110" t="s">
        <v>86</v>
      </c>
      <c r="B69" s="111">
        <v>642530</v>
      </c>
      <c r="C69" s="112">
        <v>65674.4</v>
      </c>
      <c r="D69" s="112">
        <v>114300</v>
      </c>
      <c r="E69" s="113">
        <v>226260</v>
      </c>
      <c r="F69" s="113">
        <v>245979.4</v>
      </c>
      <c r="G69" s="113">
        <v>396917.2</v>
      </c>
      <c r="H69" s="113"/>
      <c r="I69" s="113"/>
      <c r="J69" s="113"/>
      <c r="K69" s="114"/>
      <c r="L69" s="114"/>
      <c r="M69" s="114"/>
      <c r="N69" s="115"/>
      <c r="O69" s="116"/>
      <c r="P69" s="101"/>
      <c r="Q69" s="72"/>
      <c r="R69" s="72"/>
      <c r="S69" s="72"/>
      <c r="T69" s="72"/>
      <c r="U69" s="72"/>
      <c r="V69" s="72"/>
      <c r="W69" s="72"/>
      <c r="X69" s="72"/>
      <c r="Y69" s="72"/>
      <c r="Z69" s="63"/>
      <c r="AA69" s="63"/>
      <c r="AB69" s="63"/>
      <c r="AC69" s="63"/>
      <c r="AD69" s="94"/>
    </row>
    <row r="70" customFormat="1" hidden="1" customHeight="1" spans="1:30">
      <c r="A70" s="117" t="s">
        <v>87</v>
      </c>
      <c r="B70" s="45">
        <v>619048.3</v>
      </c>
      <c r="C70" s="118">
        <v>-26011.8</v>
      </c>
      <c r="D70" s="118">
        <v>86744.9</v>
      </c>
      <c r="E70" s="118">
        <v>144988.8</v>
      </c>
      <c r="F70" s="118">
        <v>145373</v>
      </c>
      <c r="G70" s="118">
        <v>116555</v>
      </c>
      <c r="H70" s="118"/>
      <c r="I70" s="118"/>
      <c r="J70" s="118"/>
      <c r="K70" s="119"/>
      <c r="L70" s="119"/>
      <c r="M70" s="119"/>
      <c r="N70" s="120"/>
      <c r="O70" s="121"/>
      <c r="P70" s="122"/>
      <c r="Q70" s="123"/>
      <c r="R70" s="123"/>
      <c r="S70" s="123"/>
      <c r="T70" s="123"/>
      <c r="U70" s="123"/>
      <c r="V70" s="123"/>
      <c r="W70" s="123"/>
      <c r="X70" s="123"/>
      <c r="Y70" s="123"/>
      <c r="Z70" s="124"/>
      <c r="AA70" s="124"/>
      <c r="AB70" s="23"/>
      <c r="AC70" s="23"/>
      <c r="AD70" s="94"/>
    </row>
    <row r="71" customFormat="1" hidden="1" customHeight="1" spans="1:30">
      <c r="A71" s="110" t="s">
        <v>88</v>
      </c>
      <c r="B71" s="111">
        <v>62459</v>
      </c>
      <c r="C71" s="112">
        <v>40628</v>
      </c>
      <c r="D71" s="112">
        <v>49095</v>
      </c>
      <c r="E71" s="113">
        <v>69415</v>
      </c>
      <c r="F71" s="113">
        <v>33300</v>
      </c>
      <c r="G71" s="113">
        <v>72884</v>
      </c>
      <c r="H71" s="113">
        <v>126597.2</v>
      </c>
      <c r="I71" s="113">
        <v>105110</v>
      </c>
      <c r="J71" s="113">
        <v>93809.2</v>
      </c>
      <c r="K71" s="114">
        <v>91309.6</v>
      </c>
      <c r="L71" s="114">
        <v>168513.8</v>
      </c>
      <c r="M71" s="114">
        <v>198563.4</v>
      </c>
      <c r="N71" s="115"/>
      <c r="O71" s="116"/>
      <c r="P71" s="101"/>
      <c r="Q71" s="72"/>
      <c r="R71" s="72"/>
      <c r="S71" s="72"/>
      <c r="T71" s="72"/>
      <c r="U71" s="72"/>
      <c r="V71" s="72"/>
      <c r="W71" s="72"/>
      <c r="X71" s="72"/>
      <c r="Y71" s="72"/>
      <c r="Z71" s="63"/>
      <c r="AA71" s="63"/>
      <c r="AB71" s="63"/>
      <c r="AC71" s="63"/>
      <c r="AD71" s="94"/>
    </row>
    <row r="72" customFormat="1" hidden="1" customHeight="1" spans="1:30">
      <c r="A72" s="117" t="s">
        <v>89</v>
      </c>
      <c r="B72" s="45">
        <v>36286</v>
      </c>
      <c r="C72" s="118">
        <v>137020</v>
      </c>
      <c r="D72" s="118">
        <v>78510</v>
      </c>
      <c r="E72" s="118">
        <v>95660</v>
      </c>
      <c r="F72" s="118">
        <v>170548.62</v>
      </c>
      <c r="G72" s="118">
        <v>163718</v>
      </c>
      <c r="H72" s="118">
        <v>380420</v>
      </c>
      <c r="I72" s="118">
        <v>179940</v>
      </c>
      <c r="J72" s="118">
        <v>450990.5</v>
      </c>
      <c r="K72" s="119">
        <v>218883.2</v>
      </c>
      <c r="L72" s="119">
        <v>212406.8</v>
      </c>
      <c r="M72" s="119">
        <v>339187.2</v>
      </c>
      <c r="N72" s="120"/>
      <c r="O72" s="121"/>
      <c r="P72" s="122"/>
      <c r="Q72" s="123"/>
      <c r="R72" s="123"/>
      <c r="S72" s="123"/>
      <c r="T72" s="123"/>
      <c r="U72" s="123"/>
      <c r="V72" s="123"/>
      <c r="W72" s="123"/>
      <c r="X72" s="123"/>
      <c r="Y72" s="123"/>
      <c r="Z72" s="124"/>
      <c r="AA72" s="124"/>
      <c r="AB72" s="23"/>
      <c r="AC72" s="23"/>
      <c r="AD72" s="94"/>
    </row>
    <row r="73" customFormat="1" hidden="1" customHeight="1" spans="1:30">
      <c r="A73" s="110" t="s">
        <v>90</v>
      </c>
      <c r="B73" s="111">
        <v>99575</v>
      </c>
      <c r="C73" s="112">
        <v>99670</v>
      </c>
      <c r="D73" s="112">
        <v>151927.5</v>
      </c>
      <c r="E73" s="113">
        <v>58112</v>
      </c>
      <c r="F73" s="113">
        <v>128670</v>
      </c>
      <c r="G73" s="113">
        <v>96264</v>
      </c>
      <c r="H73" s="113">
        <v>118193</v>
      </c>
      <c r="I73" s="113">
        <v>250061</v>
      </c>
      <c r="J73" s="113">
        <v>115510</v>
      </c>
      <c r="K73" s="114">
        <v>110395</v>
      </c>
      <c r="L73" s="114">
        <v>252260</v>
      </c>
      <c r="M73" s="114">
        <v>167797</v>
      </c>
      <c r="N73" s="115"/>
      <c r="O73" s="116"/>
      <c r="P73" s="101"/>
      <c r="Q73" s="72"/>
      <c r="R73" s="72"/>
      <c r="S73" s="72"/>
      <c r="T73" s="72"/>
      <c r="U73" s="72"/>
      <c r="V73" s="72"/>
      <c r="W73" s="72"/>
      <c r="X73" s="72"/>
      <c r="Y73" s="72"/>
      <c r="Z73" s="63"/>
      <c r="AA73" s="63"/>
      <c r="AB73" s="63"/>
      <c r="AC73" s="63"/>
      <c r="AD73" s="94"/>
    </row>
    <row r="74" customFormat="1" hidden="1" customHeight="1" spans="1:30">
      <c r="A74" s="117" t="s">
        <v>91</v>
      </c>
      <c r="B74" s="45">
        <v>30604</v>
      </c>
      <c r="C74" s="118">
        <v>54780</v>
      </c>
      <c r="D74" s="118">
        <v>12244</v>
      </c>
      <c r="E74" s="118">
        <v>26972</v>
      </c>
      <c r="F74" s="118">
        <v>116824</v>
      </c>
      <c r="G74" s="118">
        <v>131822</v>
      </c>
      <c r="H74" s="118">
        <v>79250.2</v>
      </c>
      <c r="I74" s="118">
        <v>75733</v>
      </c>
      <c r="J74" s="118">
        <v>161063.07</v>
      </c>
      <c r="K74" s="119">
        <v>33980</v>
      </c>
      <c r="L74" s="119">
        <v>112420</v>
      </c>
      <c r="M74" s="119">
        <v>166486</v>
      </c>
      <c r="N74" s="120"/>
      <c r="O74" s="121"/>
      <c r="P74" s="122"/>
      <c r="Q74" s="123"/>
      <c r="R74" s="123"/>
      <c r="S74" s="123"/>
      <c r="T74" s="123"/>
      <c r="U74" s="123"/>
      <c r="V74" s="123"/>
      <c r="W74" s="123"/>
      <c r="X74" s="123"/>
      <c r="Y74" s="123"/>
      <c r="Z74" s="124"/>
      <c r="AA74" s="124"/>
      <c r="AB74" s="23"/>
      <c r="AC74" s="23"/>
      <c r="AD74" s="94"/>
    </row>
    <row r="75" customFormat="1" hidden="1" customHeight="1" spans="1:30">
      <c r="A75" s="110" t="s">
        <v>92</v>
      </c>
      <c r="B75" s="111">
        <v>311122.5</v>
      </c>
      <c r="C75" s="112">
        <v>97260.85</v>
      </c>
      <c r="D75" s="112">
        <v>-44493.4</v>
      </c>
      <c r="E75" s="113">
        <v>23125.8</v>
      </c>
      <c r="F75" s="113">
        <v>83775.3</v>
      </c>
      <c r="G75" s="113">
        <v>23470</v>
      </c>
      <c r="H75" s="113">
        <v>12525</v>
      </c>
      <c r="I75" s="113">
        <v>7500.5</v>
      </c>
      <c r="J75" s="113">
        <v>32487.6</v>
      </c>
      <c r="K75" s="114">
        <v>52544.8</v>
      </c>
      <c r="L75" s="114">
        <v>104239.2</v>
      </c>
      <c r="M75" s="114">
        <v>504797.6</v>
      </c>
      <c r="N75" s="115"/>
      <c r="O75" s="116"/>
      <c r="P75" s="101"/>
      <c r="Q75" s="72"/>
      <c r="R75" s="72"/>
      <c r="S75" s="72"/>
      <c r="T75" s="72"/>
      <c r="U75" s="72"/>
      <c r="V75" s="72"/>
      <c r="W75" s="72"/>
      <c r="X75" s="72"/>
      <c r="Y75" s="72"/>
      <c r="Z75" s="63"/>
      <c r="AA75" s="63"/>
      <c r="AB75" s="63"/>
      <c r="AC75" s="63"/>
      <c r="AD75" s="94"/>
    </row>
    <row r="76" customFormat="1" hidden="1" customHeight="1" spans="1:30">
      <c r="A76" s="117" t="s">
        <v>93</v>
      </c>
      <c r="B76" s="45">
        <v>324500</v>
      </c>
      <c r="C76" s="118">
        <v>78022</v>
      </c>
      <c r="D76" s="118">
        <v>519900</v>
      </c>
      <c r="E76" s="118">
        <v>282446</v>
      </c>
      <c r="F76" s="118">
        <v>248665</v>
      </c>
      <c r="G76" s="118">
        <v>288788</v>
      </c>
      <c r="H76" s="118">
        <v>849050</v>
      </c>
      <c r="I76" s="118">
        <v>910667.6</v>
      </c>
      <c r="J76" s="118">
        <v>900304</v>
      </c>
      <c r="K76" s="119">
        <v>1256474.4</v>
      </c>
      <c r="L76" s="119">
        <v>440688</v>
      </c>
      <c r="M76" s="119">
        <v>884234</v>
      </c>
      <c r="N76" s="120"/>
      <c r="O76" s="121"/>
      <c r="P76" s="122"/>
      <c r="Q76" s="123"/>
      <c r="R76" s="123"/>
      <c r="S76" s="123"/>
      <c r="T76" s="123"/>
      <c r="U76" s="123"/>
      <c r="V76" s="123"/>
      <c r="W76" s="123"/>
      <c r="X76" s="123"/>
      <c r="Y76" s="123"/>
      <c r="Z76" s="124"/>
      <c r="AA76" s="124"/>
      <c r="AB76" s="23"/>
      <c r="AC76" s="23"/>
      <c r="AD76" s="94"/>
    </row>
    <row r="77" customFormat="1" hidden="1" customHeight="1" spans="1:30">
      <c r="A77" s="110" t="s">
        <v>94</v>
      </c>
      <c r="B77" s="111">
        <v>3160</v>
      </c>
      <c r="C77" s="112">
        <v>137510</v>
      </c>
      <c r="D77" s="112">
        <v>38635</v>
      </c>
      <c r="E77" s="113">
        <v>103530</v>
      </c>
      <c r="F77" s="113">
        <v>153810</v>
      </c>
      <c r="G77" s="113">
        <v>146926.48</v>
      </c>
      <c r="H77" s="113">
        <v>190730</v>
      </c>
      <c r="I77" s="113">
        <v>139870</v>
      </c>
      <c r="J77" s="113">
        <v>73440</v>
      </c>
      <c r="K77" s="114">
        <v>67090</v>
      </c>
      <c r="L77" s="114">
        <v>54830</v>
      </c>
      <c r="M77" s="114">
        <v>79161.2</v>
      </c>
      <c r="N77" s="115"/>
      <c r="O77" s="116"/>
      <c r="P77" s="101"/>
      <c r="Q77" s="72"/>
      <c r="R77" s="72"/>
      <c r="S77" s="72"/>
      <c r="T77" s="72"/>
      <c r="U77" s="72"/>
      <c r="V77" s="72"/>
      <c r="W77" s="72"/>
      <c r="X77" s="72"/>
      <c r="Y77" s="72"/>
      <c r="Z77" s="63"/>
      <c r="AA77" s="63"/>
      <c r="AB77" s="63"/>
      <c r="AC77" s="63"/>
      <c r="AD77" s="94"/>
    </row>
    <row r="78" customFormat="1" hidden="1" customHeight="1" spans="1:30">
      <c r="A78" s="117" t="s">
        <v>95</v>
      </c>
      <c r="B78" s="45">
        <v>66644.6</v>
      </c>
      <c r="C78" s="118">
        <v>41633.466</v>
      </c>
      <c r="D78" s="118">
        <v>41288.259</v>
      </c>
      <c r="E78" s="118">
        <v>192806.083</v>
      </c>
      <c r="F78" s="118">
        <v>45891.6</v>
      </c>
      <c r="G78" s="118">
        <v>35901.6</v>
      </c>
      <c r="H78" s="118">
        <v>21904</v>
      </c>
      <c r="I78" s="118">
        <v>79308.761</v>
      </c>
      <c r="J78" s="118">
        <v>43713.6</v>
      </c>
      <c r="K78" s="119">
        <v>15287.2</v>
      </c>
      <c r="L78" s="119">
        <v>54797.912</v>
      </c>
      <c r="M78" s="119">
        <v>53924.8</v>
      </c>
      <c r="N78" s="120"/>
      <c r="O78" s="121"/>
      <c r="P78" s="122"/>
      <c r="Q78" s="123"/>
      <c r="R78" s="123"/>
      <c r="S78" s="123"/>
      <c r="T78" s="123"/>
      <c r="U78" s="123"/>
      <c r="V78" s="123"/>
      <c r="W78" s="123"/>
      <c r="X78" s="123"/>
      <c r="Y78" s="123"/>
      <c r="Z78" s="124"/>
      <c r="AA78" s="124"/>
      <c r="AB78" s="23"/>
      <c r="AC78" s="23"/>
      <c r="AD78" s="94"/>
    </row>
    <row r="79" customFormat="1" hidden="1" customHeight="1" spans="1:30">
      <c r="A79" s="110" t="s">
        <v>96</v>
      </c>
      <c r="B79" s="111">
        <v>56341.4</v>
      </c>
      <c r="C79" s="112">
        <v>45656.8</v>
      </c>
      <c r="D79" s="112">
        <v>304234</v>
      </c>
      <c r="E79" s="113">
        <v>91847.2</v>
      </c>
      <c r="F79" s="113">
        <v>76498.8</v>
      </c>
      <c r="G79" s="113">
        <v>115988</v>
      </c>
      <c r="H79" s="113">
        <v>96865</v>
      </c>
      <c r="I79" s="113">
        <v>602401</v>
      </c>
      <c r="J79" s="113">
        <v>226079.4</v>
      </c>
      <c r="K79" s="114">
        <v>-85154.4</v>
      </c>
      <c r="L79" s="114">
        <v>98440</v>
      </c>
      <c r="M79" s="114">
        <v>299078</v>
      </c>
      <c r="N79" s="115"/>
      <c r="O79" s="116"/>
      <c r="P79" s="101"/>
      <c r="Q79" s="72"/>
      <c r="R79" s="72"/>
      <c r="S79" s="72"/>
      <c r="T79" s="72"/>
      <c r="U79" s="72"/>
      <c r="V79" s="72"/>
      <c r="W79" s="72"/>
      <c r="X79" s="72"/>
      <c r="Y79" s="72"/>
      <c r="Z79" s="63"/>
      <c r="AA79" s="63"/>
      <c r="AB79" s="63"/>
      <c r="AC79" s="63"/>
      <c r="AD79" s="94"/>
    </row>
    <row r="80" customFormat="1" hidden="1" customHeight="1" spans="1:30">
      <c r="A80" s="117" t="s">
        <v>97</v>
      </c>
      <c r="B80" s="45">
        <v>22980</v>
      </c>
      <c r="C80" s="118">
        <v>28687</v>
      </c>
      <c r="D80" s="118">
        <v>33396</v>
      </c>
      <c r="E80" s="118">
        <v>26358</v>
      </c>
      <c r="F80" s="118">
        <v>42354</v>
      </c>
      <c r="G80" s="118">
        <v>42229</v>
      </c>
      <c r="H80" s="118">
        <v>63184</v>
      </c>
      <c r="I80" s="118">
        <v>23960</v>
      </c>
      <c r="J80" s="118">
        <v>188210</v>
      </c>
      <c r="K80" s="119">
        <v>69515</v>
      </c>
      <c r="L80" s="119">
        <v>238608</v>
      </c>
      <c r="M80" s="119">
        <v>186485</v>
      </c>
      <c r="N80" s="120"/>
      <c r="O80" s="121"/>
      <c r="P80" s="122"/>
      <c r="Q80" s="123"/>
      <c r="R80" s="123"/>
      <c r="S80" s="123"/>
      <c r="T80" s="123"/>
      <c r="U80" s="123"/>
      <c r="V80" s="123"/>
      <c r="W80" s="123"/>
      <c r="X80" s="123"/>
      <c r="Y80" s="123"/>
      <c r="Z80" s="124"/>
      <c r="AA80" s="124"/>
      <c r="AB80" s="23"/>
      <c r="AC80" s="23"/>
      <c r="AD80" s="94"/>
    </row>
    <row r="81" customFormat="1" hidden="1" customHeight="1" spans="1:30">
      <c r="A81" s="110" t="s">
        <v>98</v>
      </c>
      <c r="B81" s="111">
        <v>209227.6</v>
      </c>
      <c r="C81" s="112">
        <v>412220</v>
      </c>
      <c r="D81" s="112">
        <v>234268</v>
      </c>
      <c r="E81" s="113">
        <v>212566.8</v>
      </c>
      <c r="F81" s="113">
        <v>156126.2</v>
      </c>
      <c r="G81" s="113">
        <v>325120</v>
      </c>
      <c r="H81" s="113">
        <v>148376.5</v>
      </c>
      <c r="I81" s="113">
        <v>41292.5</v>
      </c>
      <c r="J81" s="113">
        <v>282293</v>
      </c>
      <c r="K81" s="114">
        <v>335944.44</v>
      </c>
      <c r="L81" s="114">
        <v>252828.4</v>
      </c>
      <c r="M81" s="114">
        <v>289692.8</v>
      </c>
      <c r="N81" s="115"/>
      <c r="O81" s="116"/>
      <c r="P81" s="101"/>
      <c r="Q81" s="72"/>
      <c r="R81" s="72"/>
      <c r="S81" s="72"/>
      <c r="T81" s="72"/>
      <c r="U81" s="72"/>
      <c r="V81" s="72"/>
      <c r="W81" s="72"/>
      <c r="X81" s="72"/>
      <c r="Y81" s="72"/>
      <c r="Z81" s="63"/>
      <c r="AA81" s="63"/>
      <c r="AB81" s="63"/>
      <c r="AC81" s="63"/>
      <c r="AD81" s="94"/>
    </row>
    <row r="82" customFormat="1" hidden="1" customHeight="1" spans="1:30">
      <c r="A82" s="128" t="s">
        <v>99</v>
      </c>
      <c r="B82" s="45">
        <v>57566.2</v>
      </c>
      <c r="C82" s="127">
        <v>21120</v>
      </c>
      <c r="D82" s="127">
        <v>115149.5</v>
      </c>
      <c r="E82" s="127">
        <v>108172.98</v>
      </c>
      <c r="F82" s="127">
        <v>132295.2</v>
      </c>
      <c r="G82" s="127">
        <v>77527.7</v>
      </c>
      <c r="H82" s="127">
        <v>93331</v>
      </c>
      <c r="I82" s="127">
        <v>279133.6</v>
      </c>
      <c r="J82" s="127">
        <v>201374.2</v>
      </c>
      <c r="K82" s="120">
        <v>56283.6</v>
      </c>
      <c r="L82" s="120">
        <v>107366</v>
      </c>
      <c r="M82" s="120">
        <v>180406.2</v>
      </c>
      <c r="N82" s="120"/>
      <c r="O82" s="121"/>
      <c r="P82" s="122"/>
      <c r="Q82" s="123"/>
      <c r="R82" s="123"/>
      <c r="S82" s="123"/>
      <c r="T82" s="123"/>
      <c r="U82" s="123"/>
      <c r="V82" s="123"/>
      <c r="W82" s="123"/>
      <c r="X82" s="123"/>
      <c r="Y82" s="123"/>
      <c r="Z82" s="124"/>
      <c r="AA82" s="124"/>
      <c r="AB82" s="23"/>
      <c r="AC82" s="23"/>
      <c r="AD82" s="94"/>
    </row>
    <row r="83" s="62" customFormat="1" hidden="1" customHeight="1" spans="1:30">
      <c r="A83" s="83"/>
      <c r="B83" s="129"/>
      <c r="C83" s="129"/>
      <c r="D83" s="130"/>
      <c r="E83" s="130"/>
      <c r="F83" s="130"/>
      <c r="G83" s="61"/>
      <c r="H83" s="129"/>
      <c r="I83" s="129"/>
      <c r="J83" s="129"/>
      <c r="K83" s="129"/>
      <c r="L83" s="129"/>
      <c r="M83" s="129"/>
      <c r="N83" s="130"/>
      <c r="O83" s="131"/>
      <c r="P83" s="87"/>
      <c r="Q83" s="64"/>
      <c r="R83" s="65"/>
      <c r="S83" s="65"/>
      <c r="T83" s="65"/>
      <c r="U83" s="65"/>
      <c r="V83" s="65"/>
      <c r="W83" s="65"/>
      <c r="X83" s="65"/>
      <c r="Y83" s="65"/>
      <c r="Z83" s="69"/>
      <c r="AA83" s="69"/>
      <c r="AB83" s="69"/>
      <c r="AC83" s="69"/>
      <c r="AD83" s="90"/>
    </row>
    <row r="84" s="62" customFormat="1" hidden="1" customHeight="1" spans="1:30">
      <c r="A84" s="83" t="s">
        <v>100</v>
      </c>
      <c r="B84" s="129" t="s">
        <v>5</v>
      </c>
      <c r="C84" s="129" t="s">
        <v>6</v>
      </c>
      <c r="D84" s="130" t="s">
        <v>7</v>
      </c>
      <c r="E84" s="130" t="s">
        <v>8</v>
      </c>
      <c r="F84" s="130" t="s">
        <v>9</v>
      </c>
      <c r="G84" s="61" t="s">
        <v>10</v>
      </c>
      <c r="H84" s="129" t="s">
        <v>11</v>
      </c>
      <c r="I84" s="129" t="s">
        <v>12</v>
      </c>
      <c r="J84" s="129" t="s">
        <v>13</v>
      </c>
      <c r="K84" s="129" t="s">
        <v>14</v>
      </c>
      <c r="L84" s="129" t="s">
        <v>15</v>
      </c>
      <c r="M84" s="129" t="s">
        <v>16</v>
      </c>
      <c r="N84" s="130"/>
      <c r="O84" s="131"/>
      <c r="P84" s="87"/>
      <c r="Q84" s="64"/>
      <c r="R84" s="65"/>
      <c r="S84" s="65"/>
      <c r="T84" s="65"/>
      <c r="U84" s="65"/>
      <c r="V84" s="65"/>
      <c r="W84" s="65"/>
      <c r="X84" s="65"/>
      <c r="Y84" s="65"/>
      <c r="Z84" s="69"/>
      <c r="AA84" s="69"/>
      <c r="AB84" s="69"/>
      <c r="AC84" s="69"/>
      <c r="AD84" s="90"/>
    </row>
    <row r="85" s="62" customFormat="1" hidden="1" customHeight="1" spans="1:30">
      <c r="A85" s="83" t="s">
        <v>101</v>
      </c>
      <c r="B85" s="129" cm="1">
        <f t="array" ref="B85:M85">_xlfn._xlws.FILTER(B59:M82,A59:A82=R92)</f>
        <v>478815</v>
      </c>
      <c r="C85" s="129">
        <v>228431</v>
      </c>
      <c r="D85" s="130">
        <v>392192</v>
      </c>
      <c r="E85" s="130">
        <v>461507</v>
      </c>
      <c r="F85" s="130">
        <v>868140</v>
      </c>
      <c r="G85" s="61">
        <v>1250</v>
      </c>
      <c r="H85" s="129">
        <v>0</v>
      </c>
      <c r="I85" s="129">
        <v>0</v>
      </c>
      <c r="J85" s="129">
        <v>0</v>
      </c>
      <c r="K85" s="129">
        <v>0</v>
      </c>
      <c r="L85" s="129">
        <v>0</v>
      </c>
      <c r="M85" s="129">
        <v>0</v>
      </c>
      <c r="N85" s="130"/>
      <c r="O85" s="131"/>
      <c r="P85" s="87"/>
      <c r="Q85" s="64"/>
      <c r="R85" s="65"/>
      <c r="S85" s="65"/>
      <c r="T85" s="65"/>
      <c r="U85" s="65"/>
      <c r="V85" s="65"/>
      <c r="W85" s="65"/>
      <c r="X85" s="65"/>
      <c r="Y85" s="65"/>
      <c r="Z85" s="69"/>
      <c r="AA85" s="69"/>
      <c r="AB85" s="69"/>
      <c r="AC85" s="69"/>
      <c r="AD85" s="90"/>
    </row>
    <row r="86" s="62" customFormat="1" hidden="1" customHeight="1" spans="1:30">
      <c r="A86" s="83" t="s">
        <v>102</v>
      </c>
      <c r="B86" s="129" cm="1">
        <f t="array" ref="B86:M86">_xlfn._xlws.FILTER(B59:M82,A59:A82=R93)</f>
        <v>36286</v>
      </c>
      <c r="C86" s="129">
        <v>137020</v>
      </c>
      <c r="D86" s="130">
        <v>78510</v>
      </c>
      <c r="E86" s="130">
        <v>95660</v>
      </c>
      <c r="F86" s="130">
        <v>170548.62</v>
      </c>
      <c r="G86" s="61">
        <v>163718</v>
      </c>
      <c r="H86" s="129">
        <v>380420</v>
      </c>
      <c r="I86" s="129">
        <v>179940</v>
      </c>
      <c r="J86" s="129">
        <v>450990.5</v>
      </c>
      <c r="K86" s="129">
        <v>218883.2</v>
      </c>
      <c r="L86" s="129">
        <v>212406.8</v>
      </c>
      <c r="M86" s="129">
        <v>339187.2</v>
      </c>
      <c r="N86" s="130"/>
      <c r="O86" s="131"/>
      <c r="P86" s="87"/>
      <c r="Q86" s="64"/>
      <c r="R86" s="65"/>
      <c r="S86" s="65"/>
      <c r="T86" s="65"/>
      <c r="U86" s="65"/>
      <c r="V86" s="65"/>
      <c r="W86" s="65"/>
      <c r="X86" s="65"/>
      <c r="Y86" s="65"/>
      <c r="Z86" s="69"/>
      <c r="AA86" s="69"/>
      <c r="AB86" s="69"/>
      <c r="AC86" s="69"/>
      <c r="AD86" s="90"/>
    </row>
    <row r="87" s="62" customFormat="1" hidden="1" customHeight="1" spans="1:30">
      <c r="A87" s="83"/>
      <c r="B87" s="129"/>
      <c r="C87" s="129"/>
      <c r="D87" s="130"/>
      <c r="E87" s="130"/>
      <c r="F87" s="130"/>
      <c r="G87" s="61"/>
      <c r="H87" s="129"/>
      <c r="I87" s="129"/>
      <c r="J87" s="129"/>
      <c r="K87" s="129"/>
      <c r="L87" s="129"/>
      <c r="M87" s="129"/>
      <c r="N87" s="130"/>
      <c r="O87" s="131"/>
      <c r="P87" s="87"/>
      <c r="Q87" s="64"/>
      <c r="R87" s="65"/>
      <c r="S87" s="65"/>
      <c r="T87" s="65"/>
      <c r="U87" s="65"/>
      <c r="V87" s="65"/>
      <c r="W87" s="65"/>
      <c r="X87" s="65"/>
      <c r="Y87" s="65"/>
      <c r="Z87" s="69"/>
      <c r="AA87" s="69"/>
      <c r="AB87" s="69"/>
      <c r="AC87" s="69"/>
      <c r="AD87" s="90"/>
    </row>
    <row r="88" s="62" customFormat="1" customHeight="1" spans="1:30">
      <c r="A88" s="83"/>
      <c r="B88" s="129"/>
      <c r="C88" s="129"/>
      <c r="D88" s="130"/>
      <c r="E88" s="130"/>
      <c r="F88" s="130"/>
      <c r="G88" s="61"/>
      <c r="H88" s="129"/>
      <c r="I88" s="129"/>
      <c r="J88" s="129"/>
      <c r="K88" s="129"/>
      <c r="L88" s="129"/>
      <c r="M88" s="129"/>
      <c r="N88" s="130"/>
      <c r="O88" s="131"/>
      <c r="P88" s="87"/>
      <c r="Q88" s="64"/>
      <c r="R88" s="65"/>
      <c r="S88" s="65"/>
      <c r="T88" s="65"/>
      <c r="U88" s="65"/>
      <c r="V88" s="65"/>
      <c r="W88" s="65"/>
      <c r="X88" s="65"/>
      <c r="Y88" s="65"/>
      <c r="Z88" s="69"/>
      <c r="AA88" s="69"/>
      <c r="AB88" s="69"/>
      <c r="AC88" s="69"/>
      <c r="AD88" s="90"/>
    </row>
    <row r="89" s="62" customFormat="1" customHeight="1" spans="1:30">
      <c r="A89" s="83"/>
      <c r="B89" s="129"/>
      <c r="C89" s="129"/>
      <c r="D89" s="130"/>
      <c r="E89" s="130"/>
      <c r="F89" s="130"/>
      <c r="G89" s="61"/>
      <c r="H89" s="129"/>
      <c r="I89" s="129"/>
      <c r="J89" s="129"/>
      <c r="K89" s="129"/>
      <c r="L89" s="129"/>
      <c r="M89" s="129"/>
      <c r="N89" s="130"/>
      <c r="O89" s="131"/>
      <c r="P89" s="87"/>
      <c r="Q89" s="64"/>
      <c r="R89" s="65"/>
      <c r="S89" s="65"/>
      <c r="T89" s="65"/>
      <c r="U89" s="65"/>
      <c r="V89" s="65"/>
      <c r="W89" s="65"/>
      <c r="X89" s="65"/>
      <c r="Y89" s="65"/>
      <c r="Z89" s="69"/>
      <c r="AA89" s="69"/>
      <c r="AB89" s="69"/>
      <c r="AC89" s="69"/>
      <c r="AD89" s="90"/>
    </row>
    <row r="90" s="62" customFormat="1" customHeight="1" spans="1:30">
      <c r="A90" s="61"/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89"/>
      <c r="P90" s="64"/>
      <c r="Q90" s="64"/>
      <c r="R90" s="65"/>
      <c r="S90" s="65"/>
      <c r="T90" s="65"/>
      <c r="U90" s="65"/>
      <c r="V90" s="65"/>
      <c r="W90" s="65"/>
      <c r="X90" s="65"/>
      <c r="Y90" s="65"/>
      <c r="Z90" s="69"/>
      <c r="AA90" s="69"/>
      <c r="AB90" s="69"/>
      <c r="AC90" s="69"/>
      <c r="AD90" s="90"/>
    </row>
    <row r="91" customFormat="1" customHeight="1" spans="1:30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63"/>
      <c r="P91" s="64"/>
      <c r="Q91" s="64"/>
      <c r="R91" s="33" t="s">
        <v>103</v>
      </c>
      <c r="S91" s="65"/>
      <c r="T91" s="65"/>
      <c r="U91" s="65"/>
      <c r="V91" s="65"/>
      <c r="W91" s="65"/>
      <c r="X91" s="65"/>
      <c r="Y91" s="65"/>
      <c r="Z91" s="23"/>
      <c r="AA91" s="23"/>
      <c r="AB91" s="23"/>
      <c r="AC91" s="23"/>
      <c r="AD91" s="94"/>
    </row>
    <row r="92" customFormat="1" customHeight="1" spans="1:30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63"/>
      <c r="P92" s="64"/>
      <c r="Q92" s="64"/>
      <c r="R92" s="33" t="s">
        <v>77</v>
      </c>
      <c r="S92" s="65"/>
      <c r="T92" s="65"/>
      <c r="U92" s="65"/>
      <c r="V92" s="65"/>
      <c r="W92" s="65"/>
      <c r="X92" s="65"/>
      <c r="Y92" s="65"/>
      <c r="Z92" s="23"/>
      <c r="AA92" s="23"/>
      <c r="AB92" s="23"/>
      <c r="AC92" s="23"/>
      <c r="AD92" s="94"/>
    </row>
    <row r="93" customFormat="1" ht="22" customHeight="1" spans="1:30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63"/>
      <c r="P93" s="64"/>
      <c r="Q93" s="64"/>
      <c r="R93" s="33" t="s">
        <v>89</v>
      </c>
      <c r="S93" s="65"/>
      <c r="T93" s="65"/>
      <c r="U93" s="65"/>
      <c r="V93" s="65"/>
      <c r="W93" s="65"/>
      <c r="X93" s="65"/>
      <c r="Y93" s="65"/>
      <c r="Z93" s="23"/>
      <c r="AA93" s="23"/>
      <c r="AB93" s="23"/>
      <c r="AC93" s="23"/>
      <c r="AD93" s="94"/>
    </row>
    <row r="94" customFormat="1" hidden="1" customHeight="1" spans="1:30">
      <c r="A94" s="132" t="s">
        <v>110</v>
      </c>
      <c r="B94" s="133"/>
      <c r="C94" s="109" t="s">
        <v>5</v>
      </c>
      <c r="D94" s="109" t="s">
        <v>6</v>
      </c>
      <c r="E94" s="109" t="s">
        <v>7</v>
      </c>
      <c r="F94" s="108" t="s">
        <v>8</v>
      </c>
      <c r="G94" s="108" t="s">
        <v>9</v>
      </c>
      <c r="H94" s="108" t="s">
        <v>10</v>
      </c>
      <c r="I94" s="108" t="s">
        <v>11</v>
      </c>
      <c r="J94" s="108" t="s">
        <v>12</v>
      </c>
      <c r="K94" s="108" t="s">
        <v>13</v>
      </c>
      <c r="L94" s="108" t="s">
        <v>14</v>
      </c>
      <c r="M94" s="108" t="s">
        <v>15</v>
      </c>
      <c r="N94" s="108" t="s">
        <v>16</v>
      </c>
      <c r="O94" s="134" t="s">
        <v>68</v>
      </c>
      <c r="P94" s="74" t="s">
        <v>71</v>
      </c>
      <c r="Q94" s="74" t="s">
        <v>72</v>
      </c>
      <c r="R94" s="65"/>
      <c r="S94" s="65"/>
      <c r="T94" s="65"/>
      <c r="U94" s="65"/>
      <c r="V94" s="65"/>
      <c r="W94" s="65"/>
      <c r="X94" s="65"/>
      <c r="Y94" s="65"/>
      <c r="Z94" s="23"/>
      <c r="AA94" s="23"/>
      <c r="AB94" s="23"/>
      <c r="AC94" s="23"/>
      <c r="AD94" s="94"/>
    </row>
    <row r="95" customFormat="1" hidden="1" customHeight="1" spans="1:30">
      <c r="A95" s="111" t="s">
        <v>111</v>
      </c>
      <c r="B95" s="111"/>
      <c r="C95" s="135">
        <v>1944344.086</v>
      </c>
      <c r="D95" s="135">
        <v>2223326.28</v>
      </c>
      <c r="E95" s="111">
        <v>755763.5</v>
      </c>
      <c r="F95" s="100">
        <v>826146.75</v>
      </c>
      <c r="G95" s="100">
        <v>720293.68</v>
      </c>
      <c r="H95" s="111">
        <v>632775.4</v>
      </c>
      <c r="I95" s="136">
        <v>937083</v>
      </c>
      <c r="J95" s="111"/>
      <c r="K95" s="111"/>
      <c r="L95" s="33"/>
      <c r="M95" s="33"/>
      <c r="N95" s="137"/>
      <c r="O95" s="138">
        <f>SUM(C95:N95)</f>
        <v>8039732.696</v>
      </c>
      <c r="P95" s="102">
        <f>(I95-I96)/I96</f>
        <v>0.388365540536246</v>
      </c>
      <c r="Q95" s="102">
        <f>(I95-H95)/H95</f>
        <v>0.480909340028073</v>
      </c>
      <c r="R95" s="65"/>
      <c r="S95" s="65"/>
      <c r="T95" s="65"/>
      <c r="U95" s="65"/>
      <c r="V95" s="65"/>
      <c r="W95" s="65"/>
      <c r="X95" s="65"/>
      <c r="Y95" s="65"/>
      <c r="Z95" s="23"/>
      <c r="AA95" s="23"/>
      <c r="AB95" s="23"/>
      <c r="AC95" s="23"/>
      <c r="AD95" s="94"/>
    </row>
    <row r="96" customFormat="1" hidden="1" customHeight="1" spans="1:30">
      <c r="A96" s="139" t="s">
        <v>112</v>
      </c>
      <c r="B96" s="139"/>
      <c r="C96" s="140">
        <v>905995.84</v>
      </c>
      <c r="D96" s="140">
        <v>677290.6</v>
      </c>
      <c r="E96" s="140">
        <v>1115696.58</v>
      </c>
      <c r="F96" s="141">
        <v>2320365.67</v>
      </c>
      <c r="G96" s="140">
        <v>1007470.816</v>
      </c>
      <c r="H96" s="140">
        <v>3550576</v>
      </c>
      <c r="I96" s="140">
        <v>674954.09</v>
      </c>
      <c r="J96" s="140">
        <v>949618.9</v>
      </c>
      <c r="K96" s="140">
        <v>660870.5</v>
      </c>
      <c r="L96" s="142">
        <v>577531.312</v>
      </c>
      <c r="M96" s="142">
        <v>1946328.86</v>
      </c>
      <c r="N96" s="140">
        <v>1360828.09</v>
      </c>
      <c r="O96" s="143">
        <f>SUM(C96:N96)</f>
        <v>15747527.258</v>
      </c>
      <c r="P96" s="102"/>
      <c r="Q96" s="102"/>
      <c r="R96" s="65"/>
      <c r="S96" s="65"/>
      <c r="T96" s="65"/>
      <c r="U96" s="65"/>
      <c r="V96" s="65"/>
      <c r="W96" s="65"/>
      <c r="X96" s="65"/>
      <c r="Y96" s="65"/>
      <c r="Z96" s="23"/>
      <c r="AA96" s="23"/>
      <c r="AB96" s="23"/>
      <c r="AC96" s="23"/>
      <c r="AD96" s="94"/>
    </row>
    <row r="97" s="62" customFormat="1" hidden="1" customHeight="1" spans="1:30">
      <c r="A97" s="144"/>
      <c r="B97" s="110" t="s">
        <v>113</v>
      </c>
      <c r="C97" s="145"/>
      <c r="D97" s="145"/>
      <c r="E97" s="145"/>
      <c r="F97" s="145"/>
      <c r="G97" s="145"/>
      <c r="H97" s="145"/>
      <c r="I97" s="145">
        <v>270794.19</v>
      </c>
      <c r="J97" s="146">
        <v>433158.11</v>
      </c>
      <c r="K97" s="147">
        <v>390046.5</v>
      </c>
      <c r="L97" s="147">
        <v>352880</v>
      </c>
      <c r="M97" s="147">
        <v>689258</v>
      </c>
      <c r="N97" s="115">
        <v>334732</v>
      </c>
      <c r="O97" s="31">
        <f>SUM(C97:N97)</f>
        <v>2470868.8</v>
      </c>
      <c r="P97" s="101"/>
      <c r="Q97" s="101"/>
      <c r="R97" s="65"/>
      <c r="S97" s="65"/>
      <c r="T97" s="65"/>
      <c r="U97" s="65"/>
      <c r="V97" s="65"/>
      <c r="W97" s="65"/>
      <c r="X97" s="65"/>
      <c r="Y97" s="65"/>
      <c r="Z97" s="69"/>
      <c r="AA97" s="69"/>
      <c r="AB97" s="69"/>
      <c r="AC97" s="69"/>
      <c r="AD97" s="90"/>
    </row>
    <row r="98" customFormat="1" hidden="1" customHeight="1" spans="1:30">
      <c r="A98" s="148" t="s">
        <v>114</v>
      </c>
      <c r="B98" s="149"/>
      <c r="C98" s="150" t="e">
        <f>#REF!+#REF!</f>
        <v>#REF!</v>
      </c>
      <c r="D98" s="150" t="e">
        <f>#REF!+#REF!</f>
        <v>#REF!</v>
      </c>
      <c r="E98" s="151" t="e">
        <f>#REF!+#REF!</f>
        <v>#REF!</v>
      </c>
      <c r="F98" s="151" t="e">
        <f>#REF!+#REF!</f>
        <v>#REF!</v>
      </c>
      <c r="G98" s="151">
        <v>720293.68</v>
      </c>
      <c r="H98" s="151">
        <v>632775.4</v>
      </c>
      <c r="I98" s="151">
        <v>937083</v>
      </c>
      <c r="J98" s="151"/>
      <c r="K98" s="152"/>
      <c r="L98" s="152"/>
      <c r="M98" s="152"/>
      <c r="N98" s="153"/>
      <c r="O98" s="134"/>
      <c r="P98" s="102"/>
      <c r="Q98" s="102"/>
      <c r="R98" s="65"/>
      <c r="S98" s="65"/>
      <c r="T98" s="65"/>
      <c r="U98" s="65"/>
      <c r="V98" s="65"/>
      <c r="W98" s="65"/>
      <c r="X98" s="65"/>
      <c r="Y98" s="65"/>
      <c r="Z98" s="23"/>
      <c r="AA98" s="23"/>
      <c r="AB98" s="23"/>
      <c r="AC98" s="23"/>
      <c r="AD98" s="94"/>
    </row>
    <row r="99" s="61" customFormat="1" ht="19" hidden="1" customHeight="1" spans="1:30">
      <c r="A99" s="83"/>
      <c r="B99" s="83">
        <v>3</v>
      </c>
      <c r="C99" s="84"/>
      <c r="D99" s="84"/>
      <c r="E99" s="84"/>
      <c r="F99" s="84"/>
      <c r="G99" s="84"/>
      <c r="H99" s="84"/>
      <c r="I99" s="84"/>
      <c r="J99" s="84"/>
      <c r="K99" s="154"/>
      <c r="L99" s="88"/>
      <c r="M99" s="88"/>
      <c r="N99" s="88"/>
      <c r="O99" s="89"/>
      <c r="P99" s="64"/>
      <c r="Q99" s="64"/>
      <c r="R99" s="65"/>
      <c r="S99" s="65"/>
      <c r="T99" s="65"/>
      <c r="U99" s="65"/>
      <c r="V99" s="65"/>
      <c r="W99" s="65"/>
      <c r="X99" s="65"/>
      <c r="Y99" s="65"/>
      <c r="Z99" s="69"/>
      <c r="AA99" s="69"/>
      <c r="AB99" s="69"/>
      <c r="AC99" s="69"/>
      <c r="AD99" s="69"/>
    </row>
    <row r="100" hidden="1" customHeight="1" spans="1:30">
      <c r="A100" s="108" t="s">
        <v>3</v>
      </c>
      <c r="B100" s="108" t="s">
        <v>54</v>
      </c>
      <c r="C100" s="109" t="s">
        <v>5</v>
      </c>
      <c r="D100" s="109" t="s">
        <v>6</v>
      </c>
      <c r="E100" s="109" t="s">
        <v>7</v>
      </c>
      <c r="F100" s="109" t="s">
        <v>8</v>
      </c>
      <c r="G100" s="109" t="s">
        <v>9</v>
      </c>
      <c r="H100" s="108" t="s">
        <v>10</v>
      </c>
      <c r="I100" s="108" t="s">
        <v>11</v>
      </c>
      <c r="J100" s="108" t="s">
        <v>12</v>
      </c>
      <c r="K100" s="108" t="s">
        <v>13</v>
      </c>
      <c r="L100" s="108" t="s">
        <v>14</v>
      </c>
      <c r="M100" s="108" t="s">
        <v>15</v>
      </c>
      <c r="N100" s="108" t="s">
        <v>16</v>
      </c>
    </row>
    <row r="101" hidden="1" customHeight="1" spans="1:30">
      <c r="B101" s="25" t="e" cm="1">
        <f t="array" ref="B101">INDEX(#REF!,$B$99)</f>
        <v>#REF!</v>
      </c>
      <c r="C101" s="25" t="e" cm="1">
        <f t="array" ref="C101">_xlfn._xlws.FILTER(#REF!,#REF!=B101)</f>
        <v>#REF!</v>
      </c>
    </row>
  </sheetData>
  <mergeCells count="9">
    <mergeCell ref="A3:O3"/>
    <mergeCell ref="A4:N4"/>
    <mergeCell ref="A48:P48"/>
    <mergeCell ref="A50:D50"/>
    <mergeCell ref="A57:E57"/>
    <mergeCell ref="A94:B94"/>
    <mergeCell ref="A95:B95"/>
    <mergeCell ref="A96:B96"/>
    <mergeCell ref="A98:B98"/>
  </mergeCells>
  <dataValidations count="4">
    <dataValidation type="list" allowBlank="1" showInputMessage="1" showErrorMessage="1" sqref="R41">
      <formula1>$A$10:$A$21</formula1>
    </dataValidation>
    <dataValidation type="list" allowBlank="1" showInputMessage="1" showErrorMessage="1" sqref="R42">
      <formula1>$A$22:$A$33</formula1>
    </dataValidation>
    <dataValidation type="list" allowBlank="1" showInputMessage="1" showErrorMessage="1" sqref="R92">
      <formula1>$A$59:$A$70</formula1>
    </dataValidation>
    <dataValidation type="list" allowBlank="1" showInputMessage="1" showErrorMessage="1" sqref="R93">
      <formula1>$A$71:$A$82</formula1>
    </dataValidation>
  </dataValidations>
  <pageMargins left="0.75" right="0.75" top="1" bottom="1" header="0.5" footer="0.5"/>
  <pageSetup paperSize="9" orientation="portrait"/>
  <headerFooter/>
  <ignoredErrors>
    <ignoredError sqref="A1:AD2 B3:AD3 A4:AD5 A6:N6 Q6:AD6 A7:AD9 A10:B16 B17 A18:B21 H10:AD21 A22:AD28 B29:AD29 A30:AD40 A41:Q42 S41:AD42 A43:AD51 A52:E52 G52:N52 A53:N53 A54:B54 H54:N54 Q52:AD54 A55:AD58 A59:B65 B66 A67:B70 H59:AD70 A71:AD72 A73:A77 A79:A82 N73:AD82 A83:AD83 N84:AD84 C85:AD86 A87:AD90 A91:Q93 S91:AD93 A94:AD101" formulaRange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tabColor rgb="FFFF6C0D"/>
  </sheetPr>
  <dimension ref="A1:T128"/>
  <sheetViews>
    <sheetView showGridLines="0" workbookViewId="0">
      <selection activeCell="N46" sqref="N46"/>
    </sheetView>
  </sheetViews>
  <sheetFormatPr defaultColWidth="9" defaultRowHeight="13.5"/>
  <cols>
    <col min="1" max="1" width="11.875" style="25" customWidth="1"/>
    <col min="2" max="2" width="20.5" style="25" customWidth="1"/>
    <col min="3" max="3" width="17.625" style="25" customWidth="1"/>
    <col min="4" max="4" width="9" style="25"/>
    <col min="5" max="5" width="12.625" style="25"/>
    <col min="6" max="9" width="9.75" style="25" customWidth="1"/>
    <col min="10" max="10" width="11.375" style="25" customWidth="1"/>
    <col min="11" max="11" width="18.75" style="25" customWidth="1"/>
    <col min="12" max="12" width="9.75" style="25" customWidth="1"/>
    <col min="13" max="13" width="13.75" style="25" customWidth="1"/>
    <col min="14" max="14" width="13.125" style="25" customWidth="1"/>
    <col min="15" max="16" width="9.75" style="25" hidden="1" customWidth="1"/>
    <col min="17" max="18" width="9.75" style="25" customWidth="1"/>
    <col min="19" max="19" width="12" style="25"/>
    <col min="20" max="16384" width="9" style="25"/>
  </cols>
  <sheetData>
    <row r="1" ht="25.5" spans="1:14">
      <c r="A1" s="26" t="s">
        <v>115</v>
      </c>
      <c r="B1" s="26"/>
      <c r="C1" s="27"/>
      <c r="D1" s="26"/>
      <c r="E1" s="26"/>
      <c r="F1" s="26"/>
      <c r="G1" s="28"/>
      <c r="H1" s="28"/>
      <c r="I1" s="26" t="s">
        <v>116</v>
      </c>
      <c r="J1" s="26"/>
      <c r="K1" s="27"/>
      <c r="L1" s="26"/>
      <c r="M1" s="26"/>
      <c r="N1" s="26"/>
    </row>
    <row r="2" ht="24" customHeight="1" spans="1:14">
      <c r="A2" s="29" t="s">
        <v>117</v>
      </c>
      <c r="B2" s="29" t="s">
        <v>118</v>
      </c>
      <c r="C2" s="29" t="s">
        <v>119</v>
      </c>
      <c r="D2" s="29" t="s">
        <v>75</v>
      </c>
      <c r="E2" s="29" t="s">
        <v>120</v>
      </c>
      <c r="G2" s="30"/>
      <c r="H2" s="30"/>
      <c r="I2" s="29" t="s">
        <v>117</v>
      </c>
      <c r="J2" s="29" t="s">
        <v>118</v>
      </c>
      <c r="K2" s="29" t="s">
        <v>119</v>
      </c>
      <c r="L2" s="29" t="s">
        <v>75</v>
      </c>
      <c r="M2" s="29" t="s">
        <v>120</v>
      </c>
    </row>
    <row r="3" s="23" customFormat="1" ht="18" customHeight="1" spans="1:14">
      <c r="A3" s="31">
        <v>1</v>
      </c>
      <c r="B3" s="31" t="s">
        <v>121</v>
      </c>
      <c r="C3" s="32" t="s">
        <v>122</v>
      </c>
      <c r="D3" s="31" t="s">
        <v>30</v>
      </c>
      <c r="E3" s="31">
        <v>2316320</v>
      </c>
      <c r="F3" s="23"/>
      <c r="G3" s="23"/>
      <c r="H3" s="23"/>
      <c r="I3" s="31">
        <v>1</v>
      </c>
      <c r="J3" s="33"/>
      <c r="K3" s="32" t="s">
        <v>123</v>
      </c>
      <c r="L3" s="33" t="s">
        <v>29</v>
      </c>
      <c r="M3" s="33">
        <v>1305600</v>
      </c>
    </row>
    <row r="4" s="23" customFormat="1" ht="18" customHeight="1" spans="1:14">
      <c r="A4" s="31">
        <v>2</v>
      </c>
      <c r="B4" s="31" t="s">
        <v>124</v>
      </c>
      <c r="C4" s="32" t="s">
        <v>125</v>
      </c>
      <c r="D4" s="31" t="s">
        <v>30</v>
      </c>
      <c r="E4" s="31">
        <v>914000</v>
      </c>
      <c r="F4" s="23"/>
      <c r="G4" s="23"/>
      <c r="H4" s="23"/>
      <c r="I4" s="31">
        <v>2</v>
      </c>
      <c r="J4" s="33"/>
      <c r="K4" s="32" t="s">
        <v>126</v>
      </c>
      <c r="L4" s="33" t="s">
        <v>36</v>
      </c>
      <c r="M4" s="33">
        <v>905250</v>
      </c>
    </row>
    <row r="5" s="23" customFormat="1" ht="18" customHeight="1" spans="1:14">
      <c r="A5" s="31">
        <v>3</v>
      </c>
      <c r="B5" s="31" t="s">
        <v>127</v>
      </c>
      <c r="C5" s="32" t="s">
        <v>128</v>
      </c>
      <c r="D5" s="31" t="s">
        <v>26</v>
      </c>
      <c r="E5" s="31">
        <v>837830</v>
      </c>
      <c r="F5" s="23"/>
      <c r="G5" s="23"/>
      <c r="H5" s="23"/>
      <c r="I5" s="31">
        <v>3</v>
      </c>
      <c r="J5" s="33" t="s">
        <v>121</v>
      </c>
      <c r="K5" s="32" t="s">
        <v>122</v>
      </c>
      <c r="L5" s="33" t="s">
        <v>30</v>
      </c>
      <c r="M5" s="33">
        <v>743750</v>
      </c>
    </row>
    <row r="6" s="23" customFormat="1" ht="18" customHeight="1" spans="1:14">
      <c r="A6" s="31">
        <v>4</v>
      </c>
      <c r="B6" s="31"/>
      <c r="C6" s="32" t="s">
        <v>129</v>
      </c>
      <c r="D6" s="31" t="s">
        <v>34</v>
      </c>
      <c r="E6" s="31">
        <v>793000</v>
      </c>
      <c r="F6" s="23"/>
      <c r="G6" s="23"/>
      <c r="H6" s="23"/>
      <c r="I6" s="31">
        <v>4</v>
      </c>
      <c r="J6" s="33"/>
      <c r="K6" s="32" t="s">
        <v>130</v>
      </c>
      <c r="L6" s="33" t="s">
        <v>25</v>
      </c>
      <c r="M6" s="33">
        <v>704250</v>
      </c>
    </row>
    <row r="7" s="23" customFormat="1" ht="18" customHeight="1" spans="1:14">
      <c r="A7" s="31">
        <v>5</v>
      </c>
      <c r="B7" s="31" t="s">
        <v>131</v>
      </c>
      <c r="C7" s="32" t="s">
        <v>132</v>
      </c>
      <c r="D7" s="31" t="s">
        <v>36</v>
      </c>
      <c r="E7" s="31">
        <v>760980</v>
      </c>
      <c r="F7" s="23"/>
      <c r="G7" s="23"/>
      <c r="H7" s="23"/>
      <c r="I7" s="31">
        <v>5</v>
      </c>
      <c r="J7" s="33"/>
      <c r="K7" s="32" t="s">
        <v>129</v>
      </c>
      <c r="L7" s="33" t="s">
        <v>34</v>
      </c>
      <c r="M7" s="33">
        <v>463400</v>
      </c>
    </row>
    <row r="8" s="23" customFormat="1" ht="18" customHeight="1" spans="1:14">
      <c r="A8" s="31">
        <v>6</v>
      </c>
      <c r="B8" s="31"/>
      <c r="C8" s="32" t="s">
        <v>126</v>
      </c>
      <c r="D8" s="31" t="s">
        <v>36</v>
      </c>
      <c r="E8" s="31">
        <v>729000</v>
      </c>
      <c r="F8" s="23"/>
      <c r="G8" s="23"/>
      <c r="H8" s="23"/>
      <c r="I8" s="31">
        <v>6</v>
      </c>
      <c r="J8" s="33" t="s">
        <v>124</v>
      </c>
      <c r="K8" s="32" t="s">
        <v>133</v>
      </c>
      <c r="L8" s="33" t="s">
        <v>30</v>
      </c>
      <c r="M8" s="33">
        <v>433600</v>
      </c>
    </row>
    <row r="9" s="23" customFormat="1" ht="18" customHeight="1" spans="1:14">
      <c r="A9" s="31">
        <v>7</v>
      </c>
      <c r="B9" s="31" t="s">
        <v>134</v>
      </c>
      <c r="C9" s="32" t="s">
        <v>135</v>
      </c>
      <c r="D9" s="31" t="s">
        <v>25</v>
      </c>
      <c r="E9" s="31">
        <v>662105</v>
      </c>
      <c r="F9" s="23"/>
      <c r="G9" s="23"/>
      <c r="H9" s="23"/>
      <c r="I9" s="31">
        <v>7</v>
      </c>
      <c r="J9" s="33" t="s">
        <v>127</v>
      </c>
      <c r="K9" s="32" t="s">
        <v>128</v>
      </c>
      <c r="L9" s="33" t="s">
        <v>26</v>
      </c>
      <c r="M9" s="33">
        <v>415516</v>
      </c>
    </row>
    <row r="10" s="23" customFormat="1" ht="18" customHeight="1" spans="1:14">
      <c r="A10" s="31">
        <v>8</v>
      </c>
      <c r="B10" s="31" t="s">
        <v>124</v>
      </c>
      <c r="C10" s="32" t="s">
        <v>136</v>
      </c>
      <c r="D10" s="31" t="s">
        <v>30</v>
      </c>
      <c r="E10" s="31">
        <v>647000</v>
      </c>
      <c r="F10" s="23"/>
      <c r="G10" s="23"/>
      <c r="H10" s="23"/>
      <c r="I10" s="31">
        <v>8</v>
      </c>
      <c r="J10" s="33" t="s">
        <v>134</v>
      </c>
      <c r="K10" s="32" t="s">
        <v>135</v>
      </c>
      <c r="L10" s="33" t="s">
        <v>25</v>
      </c>
      <c r="M10" s="33">
        <v>397945</v>
      </c>
    </row>
    <row r="11" s="23" customFormat="1" ht="18" customHeight="1" spans="1:14">
      <c r="A11" s="31">
        <v>9</v>
      </c>
      <c r="B11" s="31"/>
      <c r="C11" s="32" t="s">
        <v>130</v>
      </c>
      <c r="D11" s="31" t="s">
        <v>25</v>
      </c>
      <c r="E11" s="31">
        <v>635954</v>
      </c>
      <c r="F11" s="23"/>
      <c r="G11" s="23"/>
      <c r="H11" s="23"/>
      <c r="I11" s="31">
        <v>9</v>
      </c>
      <c r="J11" s="33" t="s">
        <v>137</v>
      </c>
      <c r="K11" s="32" t="s">
        <v>138</v>
      </c>
      <c r="L11" s="33" t="s">
        <v>25</v>
      </c>
      <c r="M11" s="33">
        <v>397530</v>
      </c>
    </row>
    <row r="12" s="23" customFormat="1" ht="18" customHeight="1" spans="1:14">
      <c r="A12" s="31">
        <v>10</v>
      </c>
      <c r="B12" s="31"/>
      <c r="C12" s="32" t="s">
        <v>139</v>
      </c>
      <c r="D12" s="31" t="s">
        <v>32</v>
      </c>
      <c r="E12" s="31">
        <v>632000</v>
      </c>
      <c r="F12" s="23"/>
      <c r="G12" s="23"/>
      <c r="H12" s="23"/>
      <c r="I12" s="31">
        <v>10</v>
      </c>
      <c r="J12" s="33" t="s">
        <v>140</v>
      </c>
      <c r="K12" s="32" t="s">
        <v>141</v>
      </c>
      <c r="L12" s="33" t="s">
        <v>26</v>
      </c>
      <c r="M12" s="33">
        <v>394840</v>
      </c>
    </row>
    <row r="13" s="23" customFormat="1" ht="18" customHeight="1" spans="1:14">
      <c r="A13" s="31">
        <v>11</v>
      </c>
      <c r="B13" s="31"/>
      <c r="C13" s="32" t="s">
        <v>142</v>
      </c>
      <c r="D13" s="31" t="s">
        <v>29</v>
      </c>
      <c r="E13" s="31">
        <v>561270</v>
      </c>
      <c r="F13" s="23"/>
      <c r="G13" s="23"/>
      <c r="H13" s="23"/>
      <c r="I13" s="31">
        <v>11</v>
      </c>
      <c r="J13" s="33" t="s">
        <v>131</v>
      </c>
      <c r="K13" s="32" t="s">
        <v>132</v>
      </c>
      <c r="L13" s="33" t="s">
        <v>36</v>
      </c>
      <c r="M13" s="33">
        <v>392000</v>
      </c>
    </row>
    <row r="14" s="23" customFormat="1" ht="18" customHeight="1" spans="1:14">
      <c r="A14" s="31">
        <v>12</v>
      </c>
      <c r="B14" s="31"/>
      <c r="C14" s="32" t="s">
        <v>143</v>
      </c>
      <c r="D14" s="31" t="s">
        <v>30</v>
      </c>
      <c r="E14" s="31">
        <v>560662</v>
      </c>
      <c r="F14" s="23"/>
      <c r="G14" s="23"/>
      <c r="H14" s="23"/>
      <c r="I14" s="31">
        <v>12</v>
      </c>
      <c r="J14" s="33"/>
      <c r="K14" s="32" t="s">
        <v>144</v>
      </c>
      <c r="L14" s="33" t="s">
        <v>38</v>
      </c>
      <c r="M14" s="33">
        <v>387463.2</v>
      </c>
    </row>
    <row r="15" s="23" customFormat="1" ht="18" customHeight="1" spans="1:14">
      <c r="A15" s="31">
        <v>13</v>
      </c>
      <c r="B15" s="31" t="s">
        <v>145</v>
      </c>
      <c r="C15" s="32" t="s">
        <v>146</v>
      </c>
      <c r="D15" s="31" t="s">
        <v>40</v>
      </c>
      <c r="E15" s="31">
        <v>500150</v>
      </c>
      <c r="F15" s="23"/>
      <c r="G15" s="23"/>
      <c r="H15" s="23"/>
      <c r="I15" s="31">
        <v>13</v>
      </c>
      <c r="J15" s="33"/>
      <c r="K15" s="32" t="s">
        <v>147</v>
      </c>
      <c r="L15" s="33" t="s">
        <v>30</v>
      </c>
      <c r="M15" s="33">
        <v>376703.6</v>
      </c>
    </row>
    <row r="16" s="23" customFormat="1" ht="18" customHeight="1" spans="1:14">
      <c r="A16" s="31">
        <v>14</v>
      </c>
      <c r="B16" s="31"/>
      <c r="C16" s="32" t="s">
        <v>148</v>
      </c>
      <c r="D16" s="31" t="s">
        <v>38</v>
      </c>
      <c r="E16" s="31">
        <v>428000</v>
      </c>
      <c r="F16" s="23"/>
      <c r="G16" s="23"/>
      <c r="H16" s="23"/>
      <c r="I16" s="31">
        <v>14</v>
      </c>
      <c r="J16" s="33"/>
      <c r="K16" s="32" t="s">
        <v>149</v>
      </c>
      <c r="L16" s="33" t="s">
        <v>25</v>
      </c>
      <c r="M16" s="33">
        <v>303300</v>
      </c>
    </row>
    <row r="17" s="23" customFormat="1" ht="18" customHeight="1" spans="1:13">
      <c r="A17" s="31">
        <v>15</v>
      </c>
      <c r="B17" s="31" t="s">
        <v>140</v>
      </c>
      <c r="C17" s="32" t="s">
        <v>141</v>
      </c>
      <c r="D17" s="31" t="s">
        <v>26</v>
      </c>
      <c r="E17" s="31">
        <v>373195</v>
      </c>
      <c r="F17" s="23"/>
      <c r="G17" s="23"/>
      <c r="H17" s="23"/>
      <c r="I17" s="31">
        <v>15</v>
      </c>
      <c r="J17" s="33"/>
      <c r="K17" s="32" t="s">
        <v>148</v>
      </c>
      <c r="L17" s="33" t="s">
        <v>38</v>
      </c>
      <c r="M17" s="33">
        <v>222200</v>
      </c>
    </row>
    <row r="18" s="23" customFormat="1" ht="18" customHeight="1" spans="1:13">
      <c r="A18" s="31">
        <v>16</v>
      </c>
      <c r="B18" s="31"/>
      <c r="C18" s="32" t="s">
        <v>150</v>
      </c>
      <c r="D18" s="31" t="s">
        <v>30</v>
      </c>
      <c r="E18" s="31">
        <v>342350</v>
      </c>
      <c r="F18" s="23"/>
      <c r="G18" s="23"/>
      <c r="H18" s="23"/>
      <c r="I18" s="31">
        <v>16</v>
      </c>
      <c r="J18" s="33" t="s">
        <v>151</v>
      </c>
      <c r="K18" s="32" t="s">
        <v>152</v>
      </c>
      <c r="L18" s="33" t="s">
        <v>32</v>
      </c>
      <c r="M18" s="33">
        <v>208000</v>
      </c>
    </row>
    <row r="19" s="23" customFormat="1" ht="18" customHeight="1" spans="1:13">
      <c r="A19" s="31">
        <v>17</v>
      </c>
      <c r="B19" s="31"/>
      <c r="C19" s="32" t="s">
        <v>147</v>
      </c>
      <c r="D19" s="31" t="s">
        <v>30</v>
      </c>
      <c r="E19" s="31">
        <v>339209.2</v>
      </c>
      <c r="F19" s="23"/>
      <c r="G19" s="23"/>
      <c r="H19" s="23"/>
      <c r="I19" s="31">
        <v>17</v>
      </c>
      <c r="J19" s="33"/>
      <c r="K19" s="32" t="s">
        <v>142</v>
      </c>
      <c r="L19" s="33" t="s">
        <v>29</v>
      </c>
      <c r="M19" s="33">
        <v>203240</v>
      </c>
    </row>
    <row r="20" s="23" customFormat="1" ht="18" customHeight="1" spans="1:13">
      <c r="A20" s="31">
        <v>18</v>
      </c>
      <c r="B20" s="31" t="s">
        <v>153</v>
      </c>
      <c r="C20" s="32" t="s">
        <v>154</v>
      </c>
      <c r="D20" s="31" t="s">
        <v>30</v>
      </c>
      <c r="E20" s="31">
        <v>322040</v>
      </c>
      <c r="F20" s="23"/>
      <c r="G20" s="23"/>
      <c r="H20" s="23"/>
      <c r="I20" s="31">
        <v>18</v>
      </c>
      <c r="J20" s="33" t="s">
        <v>155</v>
      </c>
      <c r="K20" s="32" t="s">
        <v>156</v>
      </c>
      <c r="L20" s="33" t="s">
        <v>36</v>
      </c>
      <c r="M20" s="33">
        <v>183148.8</v>
      </c>
    </row>
    <row r="21" s="23" customFormat="1" ht="18" customHeight="1" spans="1:13">
      <c r="A21" s="31">
        <v>19</v>
      </c>
      <c r="B21" s="31"/>
      <c r="C21" s="32" t="s">
        <v>157</v>
      </c>
      <c r="D21" s="31" t="s">
        <v>36</v>
      </c>
      <c r="E21" s="31">
        <v>316000</v>
      </c>
      <c r="F21" s="23"/>
      <c r="G21" s="23"/>
      <c r="H21" s="23"/>
      <c r="I21" s="31">
        <v>19</v>
      </c>
      <c r="J21" s="33" t="s">
        <v>145</v>
      </c>
      <c r="K21" s="32" t="s">
        <v>158</v>
      </c>
      <c r="L21" s="33" t="s">
        <v>30</v>
      </c>
      <c r="M21" s="33">
        <v>179472</v>
      </c>
    </row>
    <row r="22" s="23" customFormat="1" ht="18" customHeight="1" spans="1:13">
      <c r="A22" s="31">
        <v>20</v>
      </c>
      <c r="B22" s="31" t="s">
        <v>159</v>
      </c>
      <c r="C22" s="32" t="s">
        <v>160</v>
      </c>
      <c r="D22" s="31" t="s">
        <v>39</v>
      </c>
      <c r="E22" s="31">
        <v>304936</v>
      </c>
      <c r="F22" s="23"/>
      <c r="G22" s="23"/>
      <c r="H22" s="23"/>
      <c r="I22" s="31">
        <v>20</v>
      </c>
      <c r="J22" s="33"/>
      <c r="K22" s="32" t="s">
        <v>161</v>
      </c>
      <c r="L22" s="33" t="s">
        <v>34</v>
      </c>
      <c r="M22" s="33">
        <v>178400</v>
      </c>
    </row>
    <row r="23" s="23" customFormat="1" ht="18" customHeight="1" spans="1:13">
      <c r="A23" s="31">
        <v>21</v>
      </c>
      <c r="B23" s="31"/>
      <c r="C23" s="32" t="s">
        <v>162</v>
      </c>
      <c r="D23" s="31" t="s">
        <v>24</v>
      </c>
      <c r="E23" s="31">
        <v>303440</v>
      </c>
      <c r="F23" s="23"/>
      <c r="G23" s="23"/>
      <c r="H23" s="23"/>
      <c r="I23" s="31">
        <v>21</v>
      </c>
      <c r="J23" s="33" t="s">
        <v>163</v>
      </c>
      <c r="K23" s="32" t="s">
        <v>164</v>
      </c>
      <c r="L23" s="33" t="s">
        <v>34</v>
      </c>
      <c r="M23" s="33">
        <v>148200</v>
      </c>
    </row>
    <row r="24" s="23" customFormat="1" ht="18" customHeight="1" spans="1:13">
      <c r="A24" s="31">
        <v>22</v>
      </c>
      <c r="B24" s="31"/>
      <c r="C24" s="32" t="s">
        <v>161</v>
      </c>
      <c r="D24" s="31" t="s">
        <v>34</v>
      </c>
      <c r="E24" s="31">
        <v>302400</v>
      </c>
      <c r="F24" s="23"/>
      <c r="G24" s="23"/>
      <c r="H24" s="23"/>
      <c r="I24" s="31">
        <v>22</v>
      </c>
      <c r="J24" s="33"/>
      <c r="K24" s="32" t="s">
        <v>162</v>
      </c>
      <c r="L24" s="33" t="s">
        <v>24</v>
      </c>
      <c r="M24" s="33">
        <v>146050</v>
      </c>
    </row>
    <row r="25" s="23" customFormat="1" ht="18" customHeight="1" spans="1:13">
      <c r="A25" s="31">
        <v>23</v>
      </c>
      <c r="B25" s="31" t="s">
        <v>165</v>
      </c>
      <c r="C25" s="32" t="s">
        <v>166</v>
      </c>
      <c r="D25" s="31" t="s">
        <v>29</v>
      </c>
      <c r="E25" s="31">
        <v>265900</v>
      </c>
      <c r="F25" s="23"/>
      <c r="G25" s="23"/>
      <c r="H25" s="23"/>
      <c r="I25" s="31">
        <v>23</v>
      </c>
      <c r="J25" s="33"/>
      <c r="K25" s="32" t="s">
        <v>167</v>
      </c>
      <c r="L25" s="33" t="s">
        <v>24</v>
      </c>
      <c r="M25" s="33">
        <v>139716</v>
      </c>
    </row>
    <row r="26" s="23" customFormat="1" ht="18" customHeight="1" spans="1:13">
      <c r="A26" s="31">
        <v>24</v>
      </c>
      <c r="B26" s="31" t="s">
        <v>151</v>
      </c>
      <c r="C26" s="32" t="s">
        <v>152</v>
      </c>
      <c r="D26" s="31" t="s">
        <v>30</v>
      </c>
      <c r="E26" s="31">
        <v>250850</v>
      </c>
      <c r="F26" s="23"/>
      <c r="G26" s="23"/>
      <c r="H26" s="23"/>
      <c r="I26" s="31">
        <v>24</v>
      </c>
      <c r="J26" s="33" t="s">
        <v>124</v>
      </c>
      <c r="K26" s="32" t="s">
        <v>136</v>
      </c>
      <c r="L26" s="33" t="s">
        <v>30</v>
      </c>
      <c r="M26" s="33">
        <v>126000</v>
      </c>
    </row>
    <row r="27" s="23" customFormat="1" ht="18" customHeight="1" spans="1:13">
      <c r="A27" s="31">
        <v>25</v>
      </c>
      <c r="B27" s="31"/>
      <c r="C27" s="32" t="s">
        <v>144</v>
      </c>
      <c r="D27" s="31" t="s">
        <v>38</v>
      </c>
      <c r="E27" s="31">
        <v>237999.28</v>
      </c>
      <c r="F27" s="23"/>
      <c r="G27" s="23"/>
      <c r="H27" s="23"/>
      <c r="I27" s="31">
        <v>25</v>
      </c>
      <c r="J27" s="33"/>
      <c r="K27" s="32" t="s">
        <v>168</v>
      </c>
      <c r="L27" s="33" t="s">
        <v>38</v>
      </c>
      <c r="M27" s="33">
        <v>122703</v>
      </c>
    </row>
    <row r="28" s="23" customFormat="1" ht="18" customHeight="1" spans="1:13">
      <c r="A28" s="31">
        <v>26</v>
      </c>
      <c r="B28" s="31"/>
      <c r="C28" s="32" t="s">
        <v>169</v>
      </c>
      <c r="D28" s="31" t="s">
        <v>30</v>
      </c>
      <c r="E28" s="31">
        <v>234390</v>
      </c>
      <c r="F28" s="23"/>
      <c r="G28" s="23"/>
      <c r="H28" s="23"/>
      <c r="I28" s="31">
        <v>26</v>
      </c>
      <c r="J28" s="33" t="s">
        <v>145</v>
      </c>
      <c r="K28" s="32" t="s">
        <v>146</v>
      </c>
      <c r="L28" s="33" t="s">
        <v>30</v>
      </c>
      <c r="M28" s="33">
        <v>114800</v>
      </c>
    </row>
    <row r="29" s="23" customFormat="1" ht="18" customHeight="1" spans="1:13">
      <c r="A29" s="31">
        <v>27</v>
      </c>
      <c r="B29" s="31"/>
      <c r="C29" s="32" t="s">
        <v>170</v>
      </c>
      <c r="D29" s="31" t="s">
        <v>40</v>
      </c>
      <c r="E29" s="31">
        <v>207900</v>
      </c>
      <c r="F29" s="23"/>
      <c r="G29" s="23"/>
      <c r="H29" s="23"/>
      <c r="I29" s="31">
        <v>27</v>
      </c>
      <c r="J29" s="33" t="s">
        <v>124</v>
      </c>
      <c r="K29" s="32" t="s">
        <v>171</v>
      </c>
      <c r="L29" s="33" t="s">
        <v>30</v>
      </c>
      <c r="M29" s="33">
        <v>105500</v>
      </c>
    </row>
    <row r="30" s="23" customFormat="1" ht="18" customHeight="1" spans="1:13">
      <c r="A30" s="31">
        <v>28</v>
      </c>
      <c r="B30" s="31"/>
      <c r="C30" s="32" t="s">
        <v>172</v>
      </c>
      <c r="D30" s="31" t="s">
        <v>30</v>
      </c>
      <c r="E30" s="31">
        <v>201900</v>
      </c>
      <c r="F30" s="23"/>
      <c r="G30" s="23"/>
      <c r="H30" s="23"/>
      <c r="I30" s="31">
        <v>28</v>
      </c>
      <c r="J30" s="33"/>
      <c r="K30" s="32" t="s">
        <v>173</v>
      </c>
      <c r="L30" s="33" t="s">
        <v>25</v>
      </c>
      <c r="M30" s="33">
        <v>92340</v>
      </c>
    </row>
    <row r="31" s="23" customFormat="1" ht="18" customHeight="1" spans="1:13">
      <c r="A31" s="31">
        <v>29</v>
      </c>
      <c r="B31" s="31" t="s">
        <v>163</v>
      </c>
      <c r="C31" s="32" t="s">
        <v>164</v>
      </c>
      <c r="D31" s="31" t="s">
        <v>34</v>
      </c>
      <c r="E31" s="31">
        <v>199052</v>
      </c>
      <c r="F31" s="23"/>
      <c r="G31" s="23"/>
      <c r="H31" s="23"/>
      <c r="I31" s="31">
        <v>29</v>
      </c>
      <c r="J31" s="33" t="s">
        <v>159</v>
      </c>
      <c r="K31" s="32" t="s">
        <v>160</v>
      </c>
      <c r="L31" s="33" t="s">
        <v>39</v>
      </c>
      <c r="M31" s="33">
        <v>90526.4</v>
      </c>
    </row>
    <row r="32" s="23" customFormat="1" ht="18" customHeight="1" spans="1:13">
      <c r="A32" s="31">
        <v>30</v>
      </c>
      <c r="B32" s="31"/>
      <c r="C32" s="32" t="s">
        <v>174</v>
      </c>
      <c r="D32" s="31" t="s">
        <v>175</v>
      </c>
      <c r="E32" s="31">
        <v>185360</v>
      </c>
      <c r="F32" s="23"/>
      <c r="G32" s="23"/>
      <c r="H32" s="23"/>
      <c r="I32" s="31">
        <v>30</v>
      </c>
      <c r="J32" s="33" t="s">
        <v>176</v>
      </c>
      <c r="K32" s="32" t="s">
        <v>177</v>
      </c>
      <c r="L32" s="33" t="s">
        <v>38</v>
      </c>
      <c r="M32" s="33">
        <v>84004.2</v>
      </c>
    </row>
    <row r="33" s="23" customFormat="1" spans="1:20">
      <c r="A33" s="34" t="s">
        <v>114</v>
      </c>
      <c r="B33" s="35"/>
      <c r="C33" s="35"/>
      <c r="D33" s="36"/>
      <c r="E33" s="37">
        <f>SUM(E3:E32)</f>
        <v>15365192.48</v>
      </c>
      <c r="I33" s="38" t="s">
        <v>114</v>
      </c>
      <c r="J33" s="38"/>
      <c r="K33" s="38"/>
      <c r="L33" s="38"/>
      <c r="M33" s="37">
        <f>SUM(M3:M32)</f>
        <v>9965448.2</v>
      </c>
    </row>
    <row r="34" ht="25.5" spans="1:20">
      <c r="A34" s="26"/>
      <c r="B34" s="26"/>
      <c r="C34" s="27"/>
      <c r="D34" s="26"/>
      <c r="E34" s="39"/>
      <c r="F34" s="24"/>
      <c r="G34" s="40"/>
      <c r="H34" s="26"/>
      <c r="I34" s="41" t="s">
        <v>178</v>
      </c>
      <c r="J34" s="42"/>
      <c r="K34" s="42"/>
      <c r="L34" s="42"/>
      <c r="M34" s="42"/>
      <c r="N34" s="43"/>
    </row>
    <row r="36" customFormat="1" ht="25.5" spans="1:20">
      <c r="A36" s="26" t="s">
        <v>179</v>
      </c>
      <c r="B36" s="26"/>
      <c r="C36" s="27"/>
      <c r="D36" s="26"/>
      <c r="E36" s="26"/>
      <c r="F36" s="26"/>
      <c r="G36" s="26"/>
      <c r="H36" s="26"/>
      <c r="I36" s="26"/>
      <c r="J36" s="26"/>
      <c r="K36" s="27"/>
      <c r="L36" s="26"/>
      <c r="M36" s="26"/>
      <c r="N36" s="26"/>
      <c r="O36" s="26"/>
      <c r="P36" s="44"/>
      <c r="Q36" s="26"/>
      <c r="R36" s="26"/>
      <c r="S36" s="26"/>
      <c r="T36" s="26"/>
    </row>
    <row r="37" customFormat="1" spans="1:20">
      <c r="A37" s="45" t="s">
        <v>118</v>
      </c>
      <c r="B37" s="45" t="s">
        <v>119</v>
      </c>
      <c r="C37" s="45" t="s">
        <v>75</v>
      </c>
      <c r="D37" s="45" t="s">
        <v>100</v>
      </c>
      <c r="E37" s="46" t="s">
        <v>5</v>
      </c>
      <c r="F37" s="46" t="s">
        <v>6</v>
      </c>
      <c r="G37" s="46" t="s">
        <v>7</v>
      </c>
      <c r="H37" s="46" t="s">
        <v>8</v>
      </c>
      <c r="I37" s="46" t="s">
        <v>9</v>
      </c>
      <c r="J37" s="46" t="s">
        <v>10</v>
      </c>
      <c r="K37" s="46" t="s">
        <v>11</v>
      </c>
      <c r="L37" s="46" t="s">
        <v>12</v>
      </c>
      <c r="M37" s="46" t="s">
        <v>13</v>
      </c>
      <c r="N37" s="46" t="s">
        <v>14</v>
      </c>
      <c r="O37" s="46" t="s">
        <v>15</v>
      </c>
      <c r="P37" s="46" t="s">
        <v>16</v>
      </c>
      <c r="Q37" s="46" t="s">
        <v>68</v>
      </c>
      <c r="R37" s="47" t="s">
        <v>71</v>
      </c>
      <c r="S37" s="47" t="s">
        <v>72</v>
      </c>
    </row>
    <row r="38" customFormat="1" spans="1:20">
      <c r="A38" s="45"/>
      <c r="B38" s="45"/>
      <c r="C38" s="45"/>
      <c r="D38" s="45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7"/>
      <c r="S38" s="47"/>
    </row>
    <row r="39" s="24" customFormat="1" ht="12" spans="1:20">
      <c r="A39" s="49"/>
      <c r="B39" s="49" t="s">
        <v>139</v>
      </c>
      <c r="C39" s="50" t="s">
        <v>32</v>
      </c>
      <c r="D39" s="51" t="s">
        <v>101</v>
      </c>
      <c r="E39" s="51">
        <v>3000</v>
      </c>
      <c r="F39" s="51"/>
      <c r="G39" s="51">
        <v>46500</v>
      </c>
      <c r="H39" s="51">
        <v>1350</v>
      </c>
      <c r="I39" s="51"/>
      <c r="J39" s="51">
        <v>4500</v>
      </c>
      <c r="K39" s="51"/>
      <c r="L39" s="51"/>
      <c r="M39" s="51"/>
      <c r="N39" s="51"/>
      <c r="O39" s="51"/>
      <c r="P39" s="51"/>
      <c r="Q39" s="51">
        <f>SUM(E39:P39)</f>
        <v>55350</v>
      </c>
      <c r="R39" s="52">
        <f>(J39-J40)/J40</f>
        <v>-0.95</v>
      </c>
      <c r="S39" s="53"/>
    </row>
    <row r="40" s="24" customFormat="1" ht="12" spans="1:20">
      <c r="A40" s="54"/>
      <c r="B40" s="54"/>
      <c r="C40" s="55"/>
      <c r="D40" s="56" t="s">
        <v>102</v>
      </c>
      <c r="E40" s="57">
        <v>0</v>
      </c>
      <c r="F40" s="56">
        <v>114000</v>
      </c>
      <c r="G40" s="57"/>
      <c r="H40" s="57">
        <v>45000</v>
      </c>
      <c r="I40" s="57">
        <v>115000</v>
      </c>
      <c r="J40" s="57">
        <v>90000</v>
      </c>
      <c r="K40" s="57">
        <v>133000</v>
      </c>
      <c r="L40" s="57">
        <v>45000</v>
      </c>
      <c r="M40" s="57">
        <v>45000</v>
      </c>
      <c r="N40" s="58">
        <v>45000</v>
      </c>
      <c r="O40" s="58"/>
      <c r="P40" s="58"/>
      <c r="Q40" s="58">
        <f t="shared" ref="Q40:Q71" si="0">SUM(E40:P40)</f>
        <v>632000</v>
      </c>
      <c r="R40" s="57"/>
      <c r="S40" s="57"/>
    </row>
    <row r="41" s="24" customFormat="1" ht="12" spans="1:20">
      <c r="A41" s="59"/>
      <c r="B41" s="59"/>
      <c r="C41" s="60"/>
      <c r="D41" s="56" t="s">
        <v>180</v>
      </c>
      <c r="E41" s="57">
        <v>62000</v>
      </c>
      <c r="F41" s="56">
        <v>27000</v>
      </c>
      <c r="G41" s="57">
        <v>36000</v>
      </c>
      <c r="H41" s="57">
        <v>132000</v>
      </c>
      <c r="I41" s="57"/>
      <c r="J41" s="57">
        <v>96000</v>
      </c>
      <c r="K41" s="57"/>
      <c r="L41" s="57"/>
      <c r="M41" s="57">
        <v>54000</v>
      </c>
      <c r="N41" s="57"/>
      <c r="O41" s="57">
        <v>36000</v>
      </c>
      <c r="P41" s="57"/>
      <c r="Q41" s="58">
        <f t="shared" si="0"/>
        <v>443000</v>
      </c>
      <c r="R41" s="57"/>
      <c r="S41" s="57"/>
    </row>
    <row r="42" s="24" customFormat="1" ht="12" spans="1:20">
      <c r="A42" s="49"/>
      <c r="B42" s="49" t="s">
        <v>162</v>
      </c>
      <c r="C42" s="50" t="s">
        <v>24</v>
      </c>
      <c r="D42" s="51" t="s">
        <v>101</v>
      </c>
      <c r="E42" s="51">
        <v>9750</v>
      </c>
      <c r="F42" s="51">
        <v>30000</v>
      </c>
      <c r="G42" s="51">
        <v>1600</v>
      </c>
      <c r="H42" s="51">
        <v>39600</v>
      </c>
      <c r="I42" s="51">
        <v>9600</v>
      </c>
      <c r="J42" s="51">
        <v>55500</v>
      </c>
      <c r="K42" s="51"/>
      <c r="L42" s="51"/>
      <c r="M42" s="51"/>
      <c r="N42" s="51"/>
      <c r="O42" s="51"/>
      <c r="P42" s="51"/>
      <c r="Q42" s="51">
        <f t="shared" si="0"/>
        <v>146050</v>
      </c>
      <c r="R42" s="53">
        <f>(J42-J43)/J43</f>
        <v>4.13888888888889</v>
      </c>
      <c r="S42" s="53">
        <f>(J42-I42)/I42</f>
        <v>4.78125</v>
      </c>
    </row>
    <row r="43" s="24" customFormat="1" ht="12" spans="1:20">
      <c r="A43" s="54"/>
      <c r="B43" s="54"/>
      <c r="C43" s="55"/>
      <c r="D43" s="56" t="s">
        <v>102</v>
      </c>
      <c r="E43" s="57">
        <v>2500</v>
      </c>
      <c r="F43" s="56">
        <v>9600</v>
      </c>
      <c r="G43" s="57">
        <v>4600</v>
      </c>
      <c r="H43" s="57">
        <v>42550</v>
      </c>
      <c r="I43" s="57">
        <v>1000</v>
      </c>
      <c r="J43" s="57">
        <v>10800</v>
      </c>
      <c r="K43" s="57">
        <v>101110</v>
      </c>
      <c r="L43" s="57">
        <v>17000</v>
      </c>
      <c r="M43" s="57">
        <v>15600</v>
      </c>
      <c r="N43" s="57"/>
      <c r="O43" s="57">
        <v>60000</v>
      </c>
      <c r="P43" s="57">
        <v>38680</v>
      </c>
      <c r="Q43" s="58">
        <f t="shared" si="0"/>
        <v>303440</v>
      </c>
      <c r="R43" s="57"/>
      <c r="S43" s="57"/>
    </row>
    <row r="44" s="24" customFormat="1" ht="12" spans="1:20">
      <c r="A44" s="59"/>
      <c r="B44" s="59"/>
      <c r="C44" s="60"/>
      <c r="D44" s="56" t="s">
        <v>180</v>
      </c>
      <c r="E44" s="57">
        <v>0</v>
      </c>
      <c r="F44" s="56"/>
      <c r="G44" s="57"/>
      <c r="H44" s="57"/>
      <c r="I44" s="57"/>
      <c r="J44" s="57"/>
      <c r="K44" s="57">
        <v>13200</v>
      </c>
      <c r="L44" s="57"/>
      <c r="M44" s="57"/>
      <c r="N44" s="57"/>
      <c r="O44" s="57">
        <v>20000</v>
      </c>
      <c r="P44" s="57">
        <v>40000</v>
      </c>
      <c r="Q44" s="58">
        <f t="shared" si="0"/>
        <v>73200</v>
      </c>
      <c r="R44" s="57"/>
      <c r="S44" s="57"/>
    </row>
    <row r="45" s="24" customFormat="1" ht="12" spans="1:20">
      <c r="A45" s="49" t="s">
        <v>153</v>
      </c>
      <c r="B45" s="49" t="s">
        <v>154</v>
      </c>
      <c r="C45" s="50" t="s">
        <v>30</v>
      </c>
      <c r="D45" s="51" t="s">
        <v>101</v>
      </c>
      <c r="E45" s="51"/>
      <c r="F45" s="51"/>
      <c r="G45" s="51">
        <v>75550</v>
      </c>
      <c r="H45" s="51"/>
      <c r="I45" s="51"/>
      <c r="J45" s="51"/>
      <c r="K45" s="51"/>
      <c r="L45" s="51"/>
      <c r="M45" s="51"/>
      <c r="N45" s="51"/>
      <c r="O45" s="51"/>
      <c r="P45" s="51"/>
      <c r="Q45" s="51">
        <f t="shared" si="0"/>
        <v>75550</v>
      </c>
      <c r="R45" s="53"/>
      <c r="S45" s="53"/>
    </row>
    <row r="46" s="24" customFormat="1" ht="12" spans="1:20">
      <c r="A46" s="54"/>
      <c r="B46" s="54"/>
      <c r="C46" s="55"/>
      <c r="D46" s="56" t="s">
        <v>102</v>
      </c>
      <c r="E46" s="57">
        <v>79700</v>
      </c>
      <c r="F46" s="56"/>
      <c r="G46" s="57">
        <v>159730</v>
      </c>
      <c r="H46" s="57"/>
      <c r="I46" s="57">
        <v>8400</v>
      </c>
      <c r="J46" s="57"/>
      <c r="K46" s="57"/>
      <c r="L46" s="57"/>
      <c r="M46" s="57">
        <v>74210</v>
      </c>
      <c r="N46" s="57"/>
      <c r="O46" s="57"/>
      <c r="P46" s="57"/>
      <c r="Q46" s="58">
        <f t="shared" si="0"/>
        <v>322040</v>
      </c>
      <c r="R46" s="57"/>
      <c r="S46" s="57"/>
    </row>
    <row r="47" s="24" customFormat="1" ht="12" spans="1:20">
      <c r="A47" s="59"/>
      <c r="B47" s="59"/>
      <c r="C47" s="60"/>
      <c r="D47" s="56" t="s">
        <v>180</v>
      </c>
      <c r="E47" s="57">
        <v>0</v>
      </c>
      <c r="F47" s="56"/>
      <c r="G47" s="57"/>
      <c r="H47" s="57"/>
      <c r="I47" s="57">
        <v>53400</v>
      </c>
      <c r="J47" s="57"/>
      <c r="K47" s="57">
        <v>65900</v>
      </c>
      <c r="L47" s="57"/>
      <c r="M47" s="57">
        <v>3250</v>
      </c>
      <c r="N47" s="57">
        <v>8400</v>
      </c>
      <c r="O47" s="57">
        <v>28200</v>
      </c>
      <c r="P47" s="57"/>
      <c r="Q47" s="58">
        <f t="shared" si="0"/>
        <v>159150</v>
      </c>
      <c r="R47" s="57"/>
      <c r="S47" s="57"/>
    </row>
    <row r="48" s="24" customFormat="1" ht="12" spans="1:20">
      <c r="A48" s="49" t="s">
        <v>145</v>
      </c>
      <c r="B48" s="49" t="s">
        <v>146</v>
      </c>
      <c r="C48" s="50" t="s">
        <v>40</v>
      </c>
      <c r="D48" s="51" t="s">
        <v>101</v>
      </c>
      <c r="E48" s="51">
        <v>9900</v>
      </c>
      <c r="F48" s="51">
        <v>92400</v>
      </c>
      <c r="G48" s="51">
        <v>12500</v>
      </c>
      <c r="H48" s="51"/>
      <c r="I48" s="51"/>
      <c r="J48" s="51"/>
      <c r="K48" s="51"/>
      <c r="L48" s="51"/>
      <c r="M48" s="51"/>
      <c r="N48" s="51"/>
      <c r="O48" s="51"/>
      <c r="P48" s="51"/>
      <c r="Q48" s="51">
        <f t="shared" si="0"/>
        <v>114800</v>
      </c>
      <c r="R48" s="52"/>
      <c r="S48" s="53"/>
    </row>
    <row r="49" s="24" customFormat="1" ht="12" spans="1:19">
      <c r="A49" s="54"/>
      <c r="B49" s="54"/>
      <c r="C49" s="55"/>
      <c r="D49" s="56" t="s">
        <v>102</v>
      </c>
      <c r="E49" s="57">
        <v>0</v>
      </c>
      <c r="F49" s="56">
        <v>2500</v>
      </c>
      <c r="G49" s="57">
        <v>600</v>
      </c>
      <c r="H49" s="57">
        <v>9600</v>
      </c>
      <c r="I49" s="57">
        <v>3850</v>
      </c>
      <c r="J49" s="57">
        <v>25600</v>
      </c>
      <c r="K49" s="57">
        <v>9600</v>
      </c>
      <c r="L49" s="57">
        <v>19200</v>
      </c>
      <c r="M49" s="57">
        <v>141400</v>
      </c>
      <c r="N49" s="57"/>
      <c r="O49" s="57">
        <v>143800</v>
      </c>
      <c r="P49" s="57">
        <v>144000</v>
      </c>
      <c r="Q49" s="58">
        <f t="shared" si="0"/>
        <v>500150</v>
      </c>
      <c r="R49" s="57"/>
      <c r="S49" s="57"/>
    </row>
    <row r="50" s="24" customFormat="1" ht="12" spans="1:19">
      <c r="A50" s="59"/>
      <c r="B50" s="59"/>
      <c r="C50" s="60"/>
      <c r="D50" s="56" t="s">
        <v>180</v>
      </c>
      <c r="E50" s="57">
        <v>92000</v>
      </c>
      <c r="F50" s="56"/>
      <c r="G50" s="57"/>
      <c r="H50" s="57">
        <v>20000</v>
      </c>
      <c r="I50" s="57"/>
      <c r="J50" s="57"/>
      <c r="K50" s="57"/>
      <c r="L50" s="57">
        <v>5900</v>
      </c>
      <c r="M50" s="57">
        <v>6000</v>
      </c>
      <c r="N50" s="57">
        <v>40000</v>
      </c>
      <c r="O50" s="57">
        <v>1250</v>
      </c>
      <c r="P50" s="57">
        <v>68000</v>
      </c>
      <c r="Q50" s="58">
        <f t="shared" si="0"/>
        <v>233150</v>
      </c>
      <c r="R50" s="57"/>
      <c r="S50" s="57"/>
    </row>
    <row r="51" s="24" customFormat="1" ht="12" spans="1:19">
      <c r="A51" s="49" t="s">
        <v>159</v>
      </c>
      <c r="B51" s="49" t="s">
        <v>160</v>
      </c>
      <c r="C51" s="50" t="s">
        <v>39</v>
      </c>
      <c r="D51" s="51" t="s">
        <v>101</v>
      </c>
      <c r="E51" s="51"/>
      <c r="F51" s="51">
        <v>9312</v>
      </c>
      <c r="G51" s="51">
        <v>16601.6</v>
      </c>
      <c r="H51" s="51">
        <v>36027.2</v>
      </c>
      <c r="I51" s="51">
        <v>3664</v>
      </c>
      <c r="J51" s="51">
        <v>19699.2</v>
      </c>
      <c r="K51" s="51"/>
      <c r="L51" s="51"/>
      <c r="M51" s="51"/>
      <c r="N51" s="51"/>
      <c r="O51" s="51"/>
      <c r="P51" s="51"/>
      <c r="Q51" s="51">
        <f t="shared" si="0"/>
        <v>85304</v>
      </c>
      <c r="R51" s="53">
        <f>(J51-J52)/J52</f>
        <v>0.231076892310769</v>
      </c>
      <c r="S51" s="53">
        <f>(J51-I51)/I51</f>
        <v>4.3764192139738</v>
      </c>
    </row>
    <row r="52" s="24" customFormat="1" ht="12" spans="1:19">
      <c r="A52" s="54"/>
      <c r="B52" s="54"/>
      <c r="C52" s="55"/>
      <c r="D52" s="56" t="s">
        <v>102</v>
      </c>
      <c r="E52" s="57">
        <v>27969.6</v>
      </c>
      <c r="F52" s="56">
        <v>17262.4</v>
      </c>
      <c r="G52" s="57">
        <v>23808</v>
      </c>
      <c r="H52" s="57">
        <v>38422.4</v>
      </c>
      <c r="I52" s="57">
        <v>16752</v>
      </c>
      <c r="J52" s="57">
        <v>16001.6</v>
      </c>
      <c r="K52" s="57">
        <v>12264</v>
      </c>
      <c r="L52" s="57">
        <v>42508.8</v>
      </c>
      <c r="M52" s="57">
        <v>34363.2</v>
      </c>
      <c r="N52" s="57">
        <v>4467.2</v>
      </c>
      <c r="O52" s="57">
        <v>25032</v>
      </c>
      <c r="P52" s="57">
        <v>46084.8</v>
      </c>
      <c r="Q52" s="58">
        <f t="shared" si="0"/>
        <v>304936</v>
      </c>
      <c r="R52" s="57"/>
      <c r="S52" s="57"/>
    </row>
    <row r="53" s="24" customFormat="1" ht="12" spans="1:19">
      <c r="A53" s="59"/>
      <c r="B53" s="59"/>
      <c r="C53" s="60"/>
      <c r="D53" s="56" t="s">
        <v>180</v>
      </c>
      <c r="E53" s="57">
        <v>49224</v>
      </c>
      <c r="F53" s="56"/>
      <c r="G53" s="57">
        <v>2592</v>
      </c>
      <c r="H53" s="57">
        <v>52514.4</v>
      </c>
      <c r="I53" s="57">
        <v>21441.6</v>
      </c>
      <c r="J53" s="57"/>
      <c r="K53" s="57"/>
      <c r="L53" s="57"/>
      <c r="M53" s="57">
        <v>24752</v>
      </c>
      <c r="N53" s="57">
        <v>748.8</v>
      </c>
      <c r="O53" s="57">
        <v>4704</v>
      </c>
      <c r="P53" s="57">
        <v>47620.8</v>
      </c>
      <c r="Q53" s="58">
        <f t="shared" si="0"/>
        <v>203597.6</v>
      </c>
      <c r="R53" s="57"/>
      <c r="S53" s="57"/>
    </row>
    <row r="54" s="24" customFormat="1" ht="12" spans="1:19">
      <c r="A54" s="49" t="s">
        <v>163</v>
      </c>
      <c r="B54" s="49" t="s">
        <v>164</v>
      </c>
      <c r="C54" s="50" t="s">
        <v>34</v>
      </c>
      <c r="D54" s="51" t="s">
        <v>101</v>
      </c>
      <c r="E54" s="51">
        <v>19800</v>
      </c>
      <c r="F54" s="51">
        <v>1200</v>
      </c>
      <c r="G54" s="51">
        <v>41400</v>
      </c>
      <c r="H54" s="51">
        <v>34200</v>
      </c>
      <c r="I54" s="51">
        <v>7200</v>
      </c>
      <c r="J54" s="51">
        <v>44400</v>
      </c>
      <c r="K54" s="51"/>
      <c r="L54" s="51"/>
      <c r="M54" s="51"/>
      <c r="N54" s="51"/>
      <c r="O54" s="51"/>
      <c r="P54" s="51"/>
      <c r="Q54" s="51">
        <f t="shared" si="0"/>
        <v>148200</v>
      </c>
      <c r="R54" s="53">
        <f>(J54-J55)/J55</f>
        <v>0.608695652173913</v>
      </c>
      <c r="S54" s="53">
        <f>(J54-I54)/I54</f>
        <v>5.16666666666667</v>
      </c>
    </row>
    <row r="55" s="24" customFormat="1" ht="12" spans="1:19">
      <c r="A55" s="54"/>
      <c r="B55" s="54"/>
      <c r="C55" s="55"/>
      <c r="D55" s="56" t="s">
        <v>102</v>
      </c>
      <c r="E55" s="57">
        <v>5880</v>
      </c>
      <c r="F55" s="56"/>
      <c r="G55" s="57">
        <v>1800</v>
      </c>
      <c r="H55" s="57">
        <v>33300</v>
      </c>
      <c r="I55" s="57">
        <v>19000</v>
      </c>
      <c r="J55" s="57">
        <v>27600</v>
      </c>
      <c r="K55" s="57">
        <v>3700</v>
      </c>
      <c r="L55" s="57">
        <v>26400</v>
      </c>
      <c r="M55" s="57">
        <v>9600</v>
      </c>
      <c r="N55" s="57">
        <v>25092</v>
      </c>
      <c r="O55" s="57"/>
      <c r="P55" s="57">
        <v>46680</v>
      </c>
      <c r="Q55" s="58">
        <f t="shared" si="0"/>
        <v>199052</v>
      </c>
      <c r="R55" s="57"/>
      <c r="S55" s="57"/>
    </row>
    <row r="56" s="24" customFormat="1" ht="12" spans="1:19">
      <c r="A56" s="59"/>
      <c r="B56" s="59"/>
      <c r="C56" s="60"/>
      <c r="D56" s="56" t="s">
        <v>180</v>
      </c>
      <c r="E56" s="57">
        <v>9750</v>
      </c>
      <c r="F56" s="56">
        <v>7800</v>
      </c>
      <c r="G56" s="57">
        <v>16800</v>
      </c>
      <c r="H56" s="57">
        <v>17950</v>
      </c>
      <c r="I56" s="57">
        <v>26800</v>
      </c>
      <c r="J56" s="57"/>
      <c r="K56" s="57">
        <v>18480</v>
      </c>
      <c r="L56" s="57">
        <v>6000</v>
      </c>
      <c r="M56" s="57">
        <v>35280</v>
      </c>
      <c r="N56" s="57">
        <v>15600</v>
      </c>
      <c r="O56" s="57">
        <v>12120</v>
      </c>
      <c r="P56" s="57">
        <v>24000</v>
      </c>
      <c r="Q56" s="58">
        <f t="shared" si="0"/>
        <v>190580</v>
      </c>
      <c r="R56" s="57"/>
      <c r="S56" s="57"/>
    </row>
    <row r="57" s="24" customFormat="1" ht="12" spans="1:19">
      <c r="A57" s="49"/>
      <c r="B57" s="49" t="s">
        <v>150</v>
      </c>
      <c r="C57" s="50" t="s">
        <v>30</v>
      </c>
      <c r="D57" s="51" t="s">
        <v>101</v>
      </c>
      <c r="E57" s="51"/>
      <c r="F57" s="51">
        <v>11000</v>
      </c>
      <c r="G57" s="51">
        <v>15400</v>
      </c>
      <c r="H57" s="51"/>
      <c r="I57" s="51">
        <v>19100</v>
      </c>
      <c r="J57" s="51"/>
      <c r="K57" s="51"/>
      <c r="L57" s="51"/>
      <c r="M57" s="51"/>
      <c r="N57" s="51"/>
      <c r="O57" s="51"/>
      <c r="P57" s="51"/>
      <c r="Q57" s="51">
        <f t="shared" si="0"/>
        <v>45500</v>
      </c>
      <c r="R57" s="52"/>
      <c r="S57" s="52"/>
    </row>
    <row r="58" s="24" customFormat="1" ht="12" spans="1:19">
      <c r="A58" s="54"/>
      <c r="B58" s="54"/>
      <c r="C58" s="55"/>
      <c r="D58" s="56" t="s">
        <v>102</v>
      </c>
      <c r="E58" s="57">
        <v>21000</v>
      </c>
      <c r="F58" s="56"/>
      <c r="G58" s="57">
        <v>42000</v>
      </c>
      <c r="H58" s="57">
        <v>18750</v>
      </c>
      <c r="I58" s="57"/>
      <c r="J58" s="57">
        <v>51000</v>
      </c>
      <c r="K58" s="57">
        <v>20000</v>
      </c>
      <c r="L58" s="57">
        <v>33100</v>
      </c>
      <c r="M58" s="57"/>
      <c r="N58" s="57">
        <v>31500</v>
      </c>
      <c r="O58" s="57">
        <v>10500</v>
      </c>
      <c r="P58" s="57">
        <v>114500</v>
      </c>
      <c r="Q58" s="58">
        <f t="shared" si="0"/>
        <v>342350</v>
      </c>
      <c r="R58" s="57"/>
      <c r="S58" s="57"/>
    </row>
    <row r="59" s="24" customFormat="1" ht="12" spans="1:19">
      <c r="A59" s="59"/>
      <c r="B59" s="59"/>
      <c r="C59" s="55"/>
      <c r="D59" s="56" t="s">
        <v>180</v>
      </c>
      <c r="E59" s="57">
        <v>0</v>
      </c>
      <c r="F59" s="56"/>
      <c r="G59" s="57"/>
      <c r="H59" s="57"/>
      <c r="I59" s="57"/>
      <c r="J59" s="57"/>
      <c r="K59" s="57"/>
      <c r="L59" s="57"/>
      <c r="M59" s="57"/>
      <c r="N59" s="57"/>
      <c r="O59" s="57"/>
      <c r="P59" s="57">
        <v>21000</v>
      </c>
      <c r="Q59" s="58">
        <f t="shared" si="0"/>
        <v>21000</v>
      </c>
      <c r="R59" s="57"/>
      <c r="S59" s="57"/>
    </row>
    <row r="60" s="24" customFormat="1" ht="12" spans="1:19">
      <c r="A60" s="49" t="s">
        <v>124</v>
      </c>
      <c r="B60" s="49" t="s">
        <v>125</v>
      </c>
      <c r="C60" s="55"/>
      <c r="D60" s="51" t="s">
        <v>101</v>
      </c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>
        <f t="shared" si="0"/>
        <v>0</v>
      </c>
      <c r="R60" s="52"/>
      <c r="S60" s="53"/>
    </row>
    <row r="61" s="24" customFormat="1" ht="12" spans="1:19">
      <c r="A61" s="54"/>
      <c r="B61" s="54"/>
      <c r="C61" s="55"/>
      <c r="D61" s="56" t="s">
        <v>102</v>
      </c>
      <c r="E61" s="57">
        <v>0</v>
      </c>
      <c r="F61" s="56"/>
      <c r="G61" s="57"/>
      <c r="H61" s="57"/>
      <c r="I61" s="57"/>
      <c r="J61" s="57"/>
      <c r="K61" s="57"/>
      <c r="L61" s="57"/>
      <c r="M61" s="57">
        <v>440000</v>
      </c>
      <c r="N61" s="57">
        <v>408000</v>
      </c>
      <c r="O61" s="57">
        <v>18000</v>
      </c>
      <c r="P61" s="57">
        <v>48000</v>
      </c>
      <c r="Q61" s="58">
        <f t="shared" si="0"/>
        <v>914000</v>
      </c>
      <c r="R61" s="57"/>
      <c r="S61" s="57"/>
    </row>
    <row r="62" s="24" customFormat="1" ht="12" spans="1:19">
      <c r="A62" s="54"/>
      <c r="B62" s="59"/>
      <c r="C62" s="55"/>
      <c r="D62" s="56" t="s">
        <v>180</v>
      </c>
      <c r="E62" s="57">
        <v>0</v>
      </c>
      <c r="F62" s="56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8">
        <f t="shared" si="0"/>
        <v>0</v>
      </c>
      <c r="R62" s="57"/>
      <c r="S62" s="57"/>
    </row>
    <row r="63" s="24" customFormat="1" ht="12" spans="1:19">
      <c r="A63" s="54"/>
      <c r="B63" s="49" t="s">
        <v>136</v>
      </c>
      <c r="C63" s="55"/>
      <c r="D63" s="51" t="s">
        <v>101</v>
      </c>
      <c r="E63" s="51"/>
      <c r="F63" s="51"/>
      <c r="G63" s="51">
        <v>66000</v>
      </c>
      <c r="H63" s="51">
        <v>60000</v>
      </c>
      <c r="I63" s="51"/>
      <c r="J63" s="51"/>
      <c r="K63" s="51"/>
      <c r="L63" s="51"/>
      <c r="M63" s="51"/>
      <c r="N63" s="51"/>
      <c r="O63" s="51"/>
      <c r="P63" s="51"/>
      <c r="Q63" s="51">
        <f t="shared" si="0"/>
        <v>126000</v>
      </c>
      <c r="R63" s="52"/>
      <c r="S63" s="53"/>
    </row>
    <row r="64" s="24" customFormat="1" ht="12" spans="1:19">
      <c r="A64" s="54"/>
      <c r="B64" s="54"/>
      <c r="C64" s="55"/>
      <c r="D64" s="56" t="s">
        <v>102</v>
      </c>
      <c r="E64" s="57">
        <v>0</v>
      </c>
      <c r="F64" s="56"/>
      <c r="G64" s="57">
        <v>36000</v>
      </c>
      <c r="H64" s="57">
        <v>29000</v>
      </c>
      <c r="I64" s="57">
        <v>38000</v>
      </c>
      <c r="J64" s="57">
        <v>38000</v>
      </c>
      <c r="K64" s="57">
        <v>188000</v>
      </c>
      <c r="L64" s="57">
        <v>228000</v>
      </c>
      <c r="M64" s="57">
        <v>90000</v>
      </c>
      <c r="N64" s="57"/>
      <c r="O64" s="57"/>
      <c r="P64" s="57"/>
      <c r="Q64" s="58">
        <f t="shared" si="0"/>
        <v>647000</v>
      </c>
      <c r="R64" s="57"/>
      <c r="S64" s="57"/>
    </row>
    <row r="65" s="24" customFormat="1" ht="12" spans="1:19">
      <c r="A65" s="59"/>
      <c r="B65" s="59"/>
      <c r="C65" s="55"/>
      <c r="D65" s="56" t="s">
        <v>180</v>
      </c>
      <c r="E65" s="57">
        <v>0</v>
      </c>
      <c r="F65" s="56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8">
        <f t="shared" si="0"/>
        <v>0</v>
      </c>
      <c r="R65" s="57"/>
      <c r="S65" s="57"/>
    </row>
    <row r="66" s="24" customFormat="1" ht="12" spans="1:19">
      <c r="A66" s="49"/>
      <c r="B66" s="49" t="s">
        <v>147</v>
      </c>
      <c r="C66" s="55"/>
      <c r="D66" s="51" t="s">
        <v>101</v>
      </c>
      <c r="E66" s="51">
        <v>9903.6</v>
      </c>
      <c r="F66" s="51">
        <v>286000</v>
      </c>
      <c r="G66" s="51">
        <v>43800</v>
      </c>
      <c r="H66" s="51"/>
      <c r="I66" s="51">
        <v>12000</v>
      </c>
      <c r="J66" s="51">
        <v>25000</v>
      </c>
      <c r="K66" s="51"/>
      <c r="L66" s="51"/>
      <c r="M66" s="51"/>
      <c r="N66" s="51"/>
      <c r="O66" s="51"/>
      <c r="P66" s="51"/>
      <c r="Q66" s="51">
        <f t="shared" si="0"/>
        <v>376703.6</v>
      </c>
      <c r="R66" s="53">
        <f>(J66-J67)/J67</f>
        <v>3.0983606557377</v>
      </c>
      <c r="S66" s="53">
        <f>(J66-I66)/I66</f>
        <v>1.08333333333333</v>
      </c>
    </row>
    <row r="67" s="24" customFormat="1" ht="12" spans="1:19">
      <c r="A67" s="54"/>
      <c r="B67" s="54"/>
      <c r="C67" s="55"/>
      <c r="D67" s="56" t="s">
        <v>102</v>
      </c>
      <c r="E67" s="57">
        <v>0</v>
      </c>
      <c r="F67" s="56"/>
      <c r="G67" s="57"/>
      <c r="H67" s="57"/>
      <c r="I67" s="57">
        <v>6000</v>
      </c>
      <c r="J67" s="57">
        <v>6100</v>
      </c>
      <c r="K67" s="57">
        <v>8430</v>
      </c>
      <c r="L67" s="57">
        <v>45801.6</v>
      </c>
      <c r="M67" s="57">
        <v>17361.6</v>
      </c>
      <c r="N67" s="57">
        <v>83992</v>
      </c>
      <c r="O67" s="57">
        <v>12012</v>
      </c>
      <c r="P67" s="57">
        <v>159512</v>
      </c>
      <c r="Q67" s="58">
        <f t="shared" si="0"/>
        <v>339209.2</v>
      </c>
      <c r="R67" s="57"/>
      <c r="S67" s="57"/>
    </row>
    <row r="68" s="24" customFormat="1" ht="12" spans="1:19">
      <c r="A68" s="59"/>
      <c r="B68" s="59"/>
      <c r="C68" s="60"/>
      <c r="D68" s="56" t="s">
        <v>180</v>
      </c>
      <c r="E68" s="57">
        <v>0</v>
      </c>
      <c r="F68" s="56"/>
      <c r="G68" s="57"/>
      <c r="H68" s="57"/>
      <c r="I68" s="57">
        <v>3200</v>
      </c>
      <c r="J68" s="57"/>
      <c r="K68" s="57">
        <v>40250</v>
      </c>
      <c r="L68" s="57">
        <v>380</v>
      </c>
      <c r="M68" s="57"/>
      <c r="N68" s="57"/>
      <c r="O68" s="57"/>
      <c r="P68" s="57"/>
      <c r="Q68" s="58">
        <f t="shared" si="0"/>
        <v>43830</v>
      </c>
      <c r="R68" s="57"/>
      <c r="S68" s="57"/>
    </row>
    <row r="69" s="24" customFormat="1" ht="12" spans="1:19">
      <c r="A69" s="49"/>
      <c r="B69" s="49" t="s">
        <v>161</v>
      </c>
      <c r="C69" s="50" t="s">
        <v>34</v>
      </c>
      <c r="D69" s="51" t="s">
        <v>101</v>
      </c>
      <c r="E69" s="51">
        <v>8400</v>
      </c>
      <c r="F69" s="51">
        <v>13000</v>
      </c>
      <c r="G69" s="51">
        <v>27000</v>
      </c>
      <c r="H69" s="51">
        <v>78000</v>
      </c>
      <c r="I69" s="51">
        <v>52000</v>
      </c>
      <c r="J69" s="51"/>
      <c r="K69" s="51"/>
      <c r="L69" s="51"/>
      <c r="M69" s="51"/>
      <c r="N69" s="51"/>
      <c r="O69" s="51"/>
      <c r="P69" s="51"/>
      <c r="Q69" s="51">
        <f t="shared" si="0"/>
        <v>178400</v>
      </c>
      <c r="R69" s="52"/>
      <c r="S69" s="53"/>
    </row>
    <row r="70" s="24" customFormat="1" ht="12" spans="1:19">
      <c r="A70" s="54"/>
      <c r="B70" s="54"/>
      <c r="C70" s="55"/>
      <c r="D70" s="56" t="s">
        <v>102</v>
      </c>
      <c r="E70" s="57">
        <v>19000</v>
      </c>
      <c r="F70" s="56">
        <v>31000</v>
      </c>
      <c r="G70" s="57">
        <v>30000</v>
      </c>
      <c r="H70" s="57">
        <v>30000</v>
      </c>
      <c r="I70" s="57">
        <v>2800</v>
      </c>
      <c r="J70" s="57">
        <v>800</v>
      </c>
      <c r="K70" s="57">
        <v>34400</v>
      </c>
      <c r="L70" s="57">
        <v>30000</v>
      </c>
      <c r="M70" s="57">
        <v>32000</v>
      </c>
      <c r="N70" s="57">
        <v>2400</v>
      </c>
      <c r="O70" s="57">
        <v>45000</v>
      </c>
      <c r="P70" s="57">
        <v>45000</v>
      </c>
      <c r="Q70" s="58">
        <f t="shared" si="0"/>
        <v>302400</v>
      </c>
      <c r="R70" s="57"/>
      <c r="S70" s="57"/>
    </row>
    <row r="71" s="24" customFormat="1" ht="12" spans="1:19">
      <c r="A71" s="59"/>
      <c r="B71" s="59"/>
      <c r="C71" s="60"/>
      <c r="D71" s="56" t="s">
        <v>180</v>
      </c>
      <c r="E71" s="57">
        <v>0</v>
      </c>
      <c r="F71" s="56"/>
      <c r="G71" s="57"/>
      <c r="H71" s="57"/>
      <c r="I71" s="57"/>
      <c r="J71" s="57"/>
      <c r="K71" s="57">
        <v>15000</v>
      </c>
      <c r="L71" s="57">
        <v>800</v>
      </c>
      <c r="M71" s="57">
        <v>1200</v>
      </c>
      <c r="N71" s="57">
        <v>15976</v>
      </c>
      <c r="O71" s="57"/>
      <c r="P71" s="57"/>
      <c r="Q71" s="58">
        <f t="shared" si="0"/>
        <v>32976</v>
      </c>
      <c r="R71" s="57"/>
      <c r="S71" s="57"/>
    </row>
    <row r="72" s="24" customFormat="1" ht="12" spans="1:19">
      <c r="A72" s="49"/>
      <c r="B72" s="49" t="s">
        <v>144</v>
      </c>
      <c r="C72" s="50" t="s">
        <v>38</v>
      </c>
      <c r="D72" s="51" t="s">
        <v>101</v>
      </c>
      <c r="E72" s="51">
        <v>342939.2</v>
      </c>
      <c r="F72" s="51">
        <v>8208</v>
      </c>
      <c r="G72" s="51">
        <v>1032</v>
      </c>
      <c r="H72" s="51">
        <v>11760</v>
      </c>
      <c r="I72" s="51">
        <v>18884</v>
      </c>
      <c r="J72" s="51">
        <v>4640</v>
      </c>
      <c r="K72" s="51"/>
      <c r="L72" s="51"/>
      <c r="M72" s="51"/>
      <c r="N72" s="51"/>
      <c r="O72" s="51"/>
      <c r="P72" s="51"/>
      <c r="Q72" s="51">
        <f t="shared" ref="Q72:Q103" si="1">SUM(E72:P72)</f>
        <v>387463.2</v>
      </c>
      <c r="R72" s="53">
        <f>(J72-J73)/J73</f>
        <v>1.81007751937985</v>
      </c>
      <c r="S72" s="52">
        <f>(J72-I72)/I72</f>
        <v>-0.754289345477653</v>
      </c>
    </row>
    <row r="73" s="24" customFormat="1" ht="12" spans="1:19">
      <c r="A73" s="54"/>
      <c r="B73" s="54"/>
      <c r="C73" s="55"/>
      <c r="D73" s="56" t="s">
        <v>102</v>
      </c>
      <c r="E73" s="57">
        <v>1651.2</v>
      </c>
      <c r="F73" s="56"/>
      <c r="G73" s="57"/>
      <c r="H73" s="57">
        <v>6439.68</v>
      </c>
      <c r="I73" s="57">
        <v>5435.2</v>
      </c>
      <c r="J73" s="57">
        <v>1651.2</v>
      </c>
      <c r="K73" s="57">
        <v>2064</v>
      </c>
      <c r="L73" s="57"/>
      <c r="M73" s="57">
        <v>43873.2</v>
      </c>
      <c r="N73" s="57">
        <v>6233.6</v>
      </c>
      <c r="O73" s="57">
        <v>66816</v>
      </c>
      <c r="P73" s="57">
        <v>103835.2</v>
      </c>
      <c r="Q73" s="58">
        <f t="shared" si="1"/>
        <v>237999.28</v>
      </c>
      <c r="R73" s="57"/>
      <c r="S73" s="57"/>
    </row>
    <row r="74" s="24" customFormat="1" ht="12" spans="1:19">
      <c r="A74" s="59"/>
      <c r="B74" s="59"/>
      <c r="C74" s="60"/>
      <c r="D74" s="56" t="s">
        <v>180</v>
      </c>
      <c r="E74" s="57">
        <v>0</v>
      </c>
      <c r="F74" s="56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8">
        <f t="shared" si="1"/>
        <v>0</v>
      </c>
      <c r="R74" s="57"/>
      <c r="S74" s="57"/>
    </row>
    <row r="75" s="24" customFormat="1" ht="12" spans="1:19">
      <c r="A75" s="49" t="s">
        <v>131</v>
      </c>
      <c r="B75" s="49" t="s">
        <v>132</v>
      </c>
      <c r="C75" s="50" t="s">
        <v>36</v>
      </c>
      <c r="D75" s="51" t="s">
        <v>101</v>
      </c>
      <c r="E75" s="51">
        <v>138500</v>
      </c>
      <c r="F75" s="51"/>
      <c r="G75" s="51">
        <v>93500</v>
      </c>
      <c r="H75" s="51">
        <v>36000</v>
      </c>
      <c r="I75" s="51">
        <v>77500</v>
      </c>
      <c r="J75" s="51">
        <v>46500</v>
      </c>
      <c r="K75" s="51"/>
      <c r="L75" s="51"/>
      <c r="M75" s="51"/>
      <c r="N75" s="51"/>
      <c r="O75" s="51"/>
      <c r="P75" s="51"/>
      <c r="Q75" s="51">
        <f t="shared" si="1"/>
        <v>392000</v>
      </c>
      <c r="R75" s="53">
        <f>(J75-J76)/J76</f>
        <v>1.64204545454545</v>
      </c>
      <c r="S75" s="52">
        <f>(J75-I75)/I75</f>
        <v>-0.4</v>
      </c>
    </row>
    <row r="76" s="24" customFormat="1" ht="12" spans="1:19">
      <c r="A76" s="54"/>
      <c r="B76" s="54"/>
      <c r="C76" s="55"/>
      <c r="D76" s="56" t="s">
        <v>102</v>
      </c>
      <c r="E76" s="57">
        <v>38000</v>
      </c>
      <c r="F76" s="56">
        <v>22400</v>
      </c>
      <c r="G76" s="57">
        <v>58680</v>
      </c>
      <c r="H76" s="57">
        <v>116000</v>
      </c>
      <c r="I76" s="57">
        <v>6300</v>
      </c>
      <c r="J76" s="57">
        <v>17600</v>
      </c>
      <c r="K76" s="57">
        <v>33900</v>
      </c>
      <c r="L76" s="57">
        <v>80700</v>
      </c>
      <c r="M76" s="57">
        <v>105500</v>
      </c>
      <c r="N76" s="57">
        <v>120500</v>
      </c>
      <c r="O76" s="57">
        <v>61000</v>
      </c>
      <c r="P76" s="57">
        <v>100400</v>
      </c>
      <c r="Q76" s="58">
        <f t="shared" si="1"/>
        <v>760980</v>
      </c>
      <c r="R76" s="57"/>
      <c r="S76" s="57"/>
    </row>
    <row r="77" s="24" customFormat="1" ht="12" spans="1:19">
      <c r="A77" s="59"/>
      <c r="B77" s="59"/>
      <c r="C77" s="55"/>
      <c r="D77" s="56" t="s">
        <v>180</v>
      </c>
      <c r="E77" s="57">
        <v>0</v>
      </c>
      <c r="F77" s="56"/>
      <c r="G77" s="57"/>
      <c r="H77" s="57"/>
      <c r="I77" s="57"/>
      <c r="J77" s="57"/>
      <c r="K77" s="57"/>
      <c r="L77" s="57"/>
      <c r="M77" s="57">
        <v>36600</v>
      </c>
      <c r="N77" s="57">
        <v>71500</v>
      </c>
      <c r="O77" s="57">
        <v>1600</v>
      </c>
      <c r="P77" s="57">
        <v>108100</v>
      </c>
      <c r="Q77" s="58">
        <f t="shared" si="1"/>
        <v>217800</v>
      </c>
      <c r="R77" s="57"/>
      <c r="S77" s="57"/>
    </row>
    <row r="78" s="24" customFormat="1" ht="12" spans="1:19">
      <c r="A78" s="49"/>
      <c r="B78" s="49" t="s">
        <v>126</v>
      </c>
      <c r="C78" s="55"/>
      <c r="D78" s="51" t="s">
        <v>101</v>
      </c>
      <c r="E78" s="51">
        <v>468000</v>
      </c>
      <c r="F78" s="51"/>
      <c r="G78" s="51"/>
      <c r="H78" s="51">
        <v>114500</v>
      </c>
      <c r="I78" s="51">
        <v>77000</v>
      </c>
      <c r="J78" s="51">
        <v>245750</v>
      </c>
      <c r="K78" s="51"/>
      <c r="L78" s="51"/>
      <c r="M78" s="51"/>
      <c r="N78" s="51"/>
      <c r="O78" s="51"/>
      <c r="P78" s="51"/>
      <c r="Q78" s="51">
        <f t="shared" si="1"/>
        <v>905250</v>
      </c>
      <c r="R78" s="53">
        <f>(J78-J79)/J79</f>
        <v>20.5570175438597</v>
      </c>
      <c r="S78" s="53">
        <f>(J78-I78)/I78</f>
        <v>2.19155844155844</v>
      </c>
    </row>
    <row r="79" s="24" customFormat="1" ht="12" spans="1:19">
      <c r="A79" s="54"/>
      <c r="B79" s="54"/>
      <c r="C79" s="55"/>
      <c r="D79" s="56" t="s">
        <v>102</v>
      </c>
      <c r="E79" s="57">
        <v>24600</v>
      </c>
      <c r="F79" s="56">
        <v>246400</v>
      </c>
      <c r="G79" s="57">
        <v>60400</v>
      </c>
      <c r="H79" s="57">
        <v>4800</v>
      </c>
      <c r="I79" s="57">
        <v>2400</v>
      </c>
      <c r="J79" s="57">
        <v>11400</v>
      </c>
      <c r="K79" s="57"/>
      <c r="L79" s="57">
        <v>70000</v>
      </c>
      <c r="M79" s="57"/>
      <c r="N79" s="57">
        <v>162000</v>
      </c>
      <c r="O79" s="57">
        <v>73000</v>
      </c>
      <c r="P79" s="57">
        <v>74000</v>
      </c>
      <c r="Q79" s="58">
        <f t="shared" si="1"/>
        <v>729000</v>
      </c>
      <c r="R79" s="57"/>
      <c r="S79" s="57"/>
    </row>
    <row r="80" s="24" customFormat="1" ht="12" spans="1:19">
      <c r="A80" s="59"/>
      <c r="B80" s="59"/>
      <c r="C80" s="60"/>
      <c r="D80" s="56" t="s">
        <v>180</v>
      </c>
      <c r="E80" s="57">
        <v>140400</v>
      </c>
      <c r="F80" s="56">
        <v>177000</v>
      </c>
      <c r="G80" s="57"/>
      <c r="H80" s="57">
        <v>2400</v>
      </c>
      <c r="I80" s="57">
        <v>24000</v>
      </c>
      <c r="J80" s="57">
        <v>10400</v>
      </c>
      <c r="K80" s="57">
        <v>211282</v>
      </c>
      <c r="L80" s="57">
        <v>200510</v>
      </c>
      <c r="M80" s="57">
        <v>76256.4</v>
      </c>
      <c r="N80" s="57">
        <v>3200</v>
      </c>
      <c r="O80" s="57">
        <v>372600</v>
      </c>
      <c r="P80" s="57">
        <v>282000</v>
      </c>
      <c r="Q80" s="58">
        <f t="shared" si="1"/>
        <v>1500048.4</v>
      </c>
      <c r="R80" s="57"/>
      <c r="S80" s="57"/>
    </row>
    <row r="81" s="24" customFormat="1" ht="12" spans="1:19">
      <c r="A81" s="49" t="s">
        <v>140</v>
      </c>
      <c r="B81" s="49" t="s">
        <v>141</v>
      </c>
      <c r="C81" s="50" t="s">
        <v>26</v>
      </c>
      <c r="D81" s="51" t="s">
        <v>101</v>
      </c>
      <c r="E81" s="51">
        <v>82650</v>
      </c>
      <c r="F81" s="51">
        <v>23260</v>
      </c>
      <c r="G81" s="51">
        <v>101700</v>
      </c>
      <c r="H81" s="51">
        <v>19440</v>
      </c>
      <c r="I81" s="51">
        <v>19000</v>
      </c>
      <c r="J81" s="51">
        <v>148790</v>
      </c>
      <c r="K81" s="51"/>
      <c r="L81" s="51"/>
      <c r="M81" s="51"/>
      <c r="N81" s="51"/>
      <c r="O81" s="51"/>
      <c r="P81" s="51"/>
      <c r="Q81" s="51">
        <f t="shared" si="1"/>
        <v>394840</v>
      </c>
      <c r="R81" s="53">
        <f>(J81-J82)/J82</f>
        <v>56.6705426356589</v>
      </c>
      <c r="S81" s="53">
        <f>(J81-I81)/I81</f>
        <v>6.83105263157895</v>
      </c>
    </row>
    <row r="82" s="24" customFormat="1" ht="12" spans="1:19">
      <c r="A82" s="54"/>
      <c r="B82" s="54"/>
      <c r="C82" s="55"/>
      <c r="D82" s="56" t="s">
        <v>102</v>
      </c>
      <c r="E82" s="57">
        <v>4800</v>
      </c>
      <c r="F82" s="56"/>
      <c r="G82" s="57"/>
      <c r="H82" s="57">
        <v>2000</v>
      </c>
      <c r="I82" s="57">
        <v>7920</v>
      </c>
      <c r="J82" s="57">
        <v>2580</v>
      </c>
      <c r="K82" s="57">
        <v>18455</v>
      </c>
      <c r="L82" s="57">
        <v>62370</v>
      </c>
      <c r="M82" s="57">
        <v>36260</v>
      </c>
      <c r="N82" s="57">
        <v>27885</v>
      </c>
      <c r="O82" s="57">
        <v>61655</v>
      </c>
      <c r="P82" s="57">
        <v>149270</v>
      </c>
      <c r="Q82" s="58">
        <f t="shared" si="1"/>
        <v>373195</v>
      </c>
      <c r="R82" s="57"/>
      <c r="S82" s="57"/>
    </row>
    <row r="83" s="24" customFormat="1" ht="12" spans="1:19">
      <c r="A83" s="59"/>
      <c r="B83" s="59"/>
      <c r="C83" s="60"/>
      <c r="D83" s="56" t="s">
        <v>180</v>
      </c>
      <c r="E83" s="57">
        <v>0</v>
      </c>
      <c r="F83" s="56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8">
        <f t="shared" si="1"/>
        <v>0</v>
      </c>
      <c r="R83" s="57"/>
      <c r="S83" s="57"/>
    </row>
    <row r="84" s="24" customFormat="1" ht="12" spans="1:19">
      <c r="A84" s="49"/>
      <c r="B84" s="49" t="s">
        <v>157</v>
      </c>
      <c r="C84" s="50" t="s">
        <v>36</v>
      </c>
      <c r="D84" s="51" t="s">
        <v>101</v>
      </c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>
        <f t="shared" si="1"/>
        <v>0</v>
      </c>
      <c r="R84" s="53"/>
      <c r="S84" s="53"/>
    </row>
    <row r="85" s="24" customFormat="1" ht="12" spans="1:19">
      <c r="A85" s="54"/>
      <c r="B85" s="54"/>
      <c r="C85" s="55"/>
      <c r="D85" s="56" t="s">
        <v>102</v>
      </c>
      <c r="E85" s="57">
        <v>48000</v>
      </c>
      <c r="F85" s="56">
        <v>64800</v>
      </c>
      <c r="G85" s="57">
        <v>4800</v>
      </c>
      <c r="H85" s="57">
        <v>12000</v>
      </c>
      <c r="I85" s="57"/>
      <c r="J85" s="57">
        <v>30400</v>
      </c>
      <c r="K85" s="57">
        <v>30000</v>
      </c>
      <c r="L85" s="57"/>
      <c r="M85" s="57">
        <v>48000</v>
      </c>
      <c r="N85" s="57"/>
      <c r="O85" s="57"/>
      <c r="P85" s="57">
        <v>78000</v>
      </c>
      <c r="Q85" s="58">
        <f t="shared" si="1"/>
        <v>316000</v>
      </c>
      <c r="R85" s="57"/>
      <c r="S85" s="57"/>
    </row>
    <row r="86" s="24" customFormat="1" ht="12" spans="1:19">
      <c r="A86" s="59"/>
      <c r="B86" s="59"/>
      <c r="C86" s="60"/>
      <c r="D86" s="56" t="s">
        <v>180</v>
      </c>
      <c r="E86" s="57">
        <v>0</v>
      </c>
      <c r="F86" s="56"/>
      <c r="G86" s="57"/>
      <c r="H86" s="57"/>
      <c r="I86" s="57"/>
      <c r="J86" s="57"/>
      <c r="K86" s="57"/>
      <c r="L86" s="57"/>
      <c r="M86" s="57">
        <v>32000</v>
      </c>
      <c r="N86" s="57">
        <v>48000</v>
      </c>
      <c r="O86" s="57"/>
      <c r="P86" s="57"/>
      <c r="Q86" s="58">
        <f t="shared" si="1"/>
        <v>80000</v>
      </c>
      <c r="R86" s="57"/>
      <c r="S86" s="57"/>
    </row>
    <row r="87" s="24" customFormat="1" ht="12" spans="1:19">
      <c r="A87" s="49"/>
      <c r="B87" s="49" t="s">
        <v>130</v>
      </c>
      <c r="C87" s="50" t="s">
        <v>25</v>
      </c>
      <c r="D87" s="51" t="s">
        <v>101</v>
      </c>
      <c r="E87" s="51">
        <v>231000</v>
      </c>
      <c r="F87" s="51">
        <v>90000</v>
      </c>
      <c r="G87" s="51">
        <v>159000</v>
      </c>
      <c r="H87" s="51">
        <v>84000</v>
      </c>
      <c r="I87" s="51">
        <v>126000</v>
      </c>
      <c r="J87" s="51">
        <v>14250</v>
      </c>
      <c r="K87" s="51"/>
      <c r="L87" s="51"/>
      <c r="M87" s="51"/>
      <c r="N87" s="51"/>
      <c r="O87" s="51"/>
      <c r="P87" s="51"/>
      <c r="Q87" s="51">
        <f t="shared" si="1"/>
        <v>704250</v>
      </c>
      <c r="R87" s="52">
        <f>(J87-J88)/J88</f>
        <v>-0.76904376012966</v>
      </c>
      <c r="S87" s="52">
        <f>(J87-I87)/I87</f>
        <v>-0.886904761904762</v>
      </c>
    </row>
    <row r="88" s="24" customFormat="1" ht="12" spans="1:19">
      <c r="A88" s="54"/>
      <c r="B88" s="54"/>
      <c r="C88" s="55"/>
      <c r="D88" s="56" t="s">
        <v>102</v>
      </c>
      <c r="E88" s="57">
        <v>15734</v>
      </c>
      <c r="F88" s="56">
        <v>25880</v>
      </c>
      <c r="G88" s="57">
        <v>10740</v>
      </c>
      <c r="H88" s="57">
        <v>50400</v>
      </c>
      <c r="I88" s="57">
        <v>31500</v>
      </c>
      <c r="J88" s="57">
        <v>61700</v>
      </c>
      <c r="K88" s="57">
        <v>34900</v>
      </c>
      <c r="L88" s="57">
        <v>70200</v>
      </c>
      <c r="M88" s="57">
        <v>73600</v>
      </c>
      <c r="N88" s="57">
        <v>78000</v>
      </c>
      <c r="O88" s="57">
        <v>84300</v>
      </c>
      <c r="P88" s="57">
        <v>99000</v>
      </c>
      <c r="Q88" s="58">
        <f t="shared" si="1"/>
        <v>635954</v>
      </c>
      <c r="R88" s="57"/>
      <c r="S88" s="57"/>
    </row>
    <row r="89" s="24" customFormat="1" ht="12" spans="1:19">
      <c r="A89" s="59"/>
      <c r="B89" s="59"/>
      <c r="C89" s="60"/>
      <c r="D89" s="56" t="s">
        <v>180</v>
      </c>
      <c r="E89" s="57">
        <v>2250</v>
      </c>
      <c r="F89" s="56">
        <v>6000</v>
      </c>
      <c r="G89" s="57">
        <v>15000</v>
      </c>
      <c r="H89" s="57"/>
      <c r="I89" s="57">
        <v>7500</v>
      </c>
      <c r="J89" s="57">
        <v>750</v>
      </c>
      <c r="K89" s="57">
        <v>22500</v>
      </c>
      <c r="L89" s="57">
        <v>14650</v>
      </c>
      <c r="M89" s="57">
        <v>18050</v>
      </c>
      <c r="N89" s="57">
        <v>21450</v>
      </c>
      <c r="O89" s="57">
        <v>11250</v>
      </c>
      <c r="P89" s="57">
        <v>11250</v>
      </c>
      <c r="Q89" s="58">
        <f t="shared" si="1"/>
        <v>130650</v>
      </c>
      <c r="R89" s="57"/>
      <c r="S89" s="57"/>
    </row>
    <row r="90" s="24" customFormat="1" ht="12" spans="1:19">
      <c r="A90" s="49"/>
      <c r="B90" s="49" t="s">
        <v>148</v>
      </c>
      <c r="C90" s="50" t="s">
        <v>38</v>
      </c>
      <c r="D90" s="51" t="s">
        <v>101</v>
      </c>
      <c r="E90" s="51">
        <v>144600</v>
      </c>
      <c r="F90" s="51"/>
      <c r="G90" s="51"/>
      <c r="H90" s="51"/>
      <c r="I90" s="51">
        <v>42000</v>
      </c>
      <c r="J90" s="51">
        <v>35600</v>
      </c>
      <c r="K90" s="51"/>
      <c r="L90" s="51"/>
      <c r="M90" s="51"/>
      <c r="N90" s="51"/>
      <c r="O90" s="51"/>
      <c r="P90" s="51"/>
      <c r="Q90" s="51">
        <f t="shared" si="1"/>
        <v>222200</v>
      </c>
      <c r="R90" s="53"/>
      <c r="S90" s="52">
        <f>(J90-I90)/I90</f>
        <v>-0.152380952380952</v>
      </c>
    </row>
    <row r="91" s="24" customFormat="1" ht="12" spans="1:19">
      <c r="A91" s="54"/>
      <c r="B91" s="54"/>
      <c r="C91" s="55"/>
      <c r="D91" s="56" t="s">
        <v>102</v>
      </c>
      <c r="E91" s="57">
        <v>0</v>
      </c>
      <c r="F91" s="56"/>
      <c r="G91" s="57"/>
      <c r="H91" s="57">
        <v>4000</v>
      </c>
      <c r="I91" s="57">
        <v>80000</v>
      </c>
      <c r="J91" s="57"/>
      <c r="K91" s="57">
        <v>53400</v>
      </c>
      <c r="L91" s="57">
        <v>155600</v>
      </c>
      <c r="M91" s="57">
        <v>115000</v>
      </c>
      <c r="N91" s="57"/>
      <c r="O91" s="57">
        <v>20000</v>
      </c>
      <c r="P91" s="57"/>
      <c r="Q91" s="58">
        <f t="shared" si="1"/>
        <v>428000</v>
      </c>
      <c r="R91" s="57"/>
      <c r="S91" s="57"/>
    </row>
    <row r="92" s="24" customFormat="1" ht="12" spans="1:19">
      <c r="A92" s="59"/>
      <c r="B92" s="59"/>
      <c r="C92" s="60"/>
      <c r="D92" s="56" t="s">
        <v>180</v>
      </c>
      <c r="E92" s="57">
        <v>80000</v>
      </c>
      <c r="F92" s="56"/>
      <c r="G92" s="57">
        <v>6900</v>
      </c>
      <c r="H92" s="57">
        <v>59500</v>
      </c>
      <c r="I92" s="57">
        <v>2200</v>
      </c>
      <c r="J92" s="57">
        <v>61300</v>
      </c>
      <c r="K92" s="57">
        <v>41200</v>
      </c>
      <c r="L92" s="57">
        <v>67000</v>
      </c>
      <c r="M92" s="57"/>
      <c r="N92" s="57"/>
      <c r="O92" s="57">
        <v>36000</v>
      </c>
      <c r="P92" s="57">
        <v>72800</v>
      </c>
      <c r="Q92" s="58">
        <f t="shared" si="1"/>
        <v>426900</v>
      </c>
      <c r="R92" s="57"/>
      <c r="S92" s="57"/>
    </row>
    <row r="93" s="24" customFormat="1" ht="12" spans="1:19">
      <c r="A93" s="49"/>
      <c r="B93" s="49" t="s">
        <v>142</v>
      </c>
      <c r="C93" s="50" t="s">
        <v>29</v>
      </c>
      <c r="D93" s="51" t="s">
        <v>101</v>
      </c>
      <c r="E93" s="51">
        <v>34000</v>
      </c>
      <c r="F93" s="51">
        <v>3870</v>
      </c>
      <c r="G93" s="51">
        <v>12370</v>
      </c>
      <c r="H93" s="51">
        <v>11900</v>
      </c>
      <c r="I93" s="51">
        <v>68000</v>
      </c>
      <c r="J93" s="51">
        <v>85000</v>
      </c>
      <c r="K93" s="51"/>
      <c r="L93" s="51"/>
      <c r="M93" s="51"/>
      <c r="N93" s="51"/>
      <c r="O93" s="51"/>
      <c r="P93" s="51"/>
      <c r="Q93" s="51">
        <f t="shared" si="1"/>
        <v>215140</v>
      </c>
      <c r="R93" s="53">
        <f>(J93-J94)/J94</f>
        <v>13.2857142857143</v>
      </c>
      <c r="S93" s="53">
        <f>(J93-I93)/I93</f>
        <v>0.25</v>
      </c>
    </row>
    <row r="94" s="24" customFormat="1" ht="12" spans="1:19">
      <c r="A94" s="54"/>
      <c r="B94" s="54"/>
      <c r="C94" s="55"/>
      <c r="D94" s="56" t="s">
        <v>102</v>
      </c>
      <c r="E94" s="57">
        <v>105600</v>
      </c>
      <c r="F94" s="56">
        <v>6410</v>
      </c>
      <c r="G94" s="57">
        <v>4620</v>
      </c>
      <c r="H94" s="57">
        <v>10850</v>
      </c>
      <c r="I94" s="57">
        <v>4860</v>
      </c>
      <c r="J94" s="57">
        <v>5950</v>
      </c>
      <c r="K94" s="57">
        <v>4900</v>
      </c>
      <c r="L94" s="57">
        <v>700</v>
      </c>
      <c r="M94" s="57">
        <v>880</v>
      </c>
      <c r="N94" s="57">
        <v>40800</v>
      </c>
      <c r="O94" s="57">
        <v>1700</v>
      </c>
      <c r="P94" s="57">
        <v>374000</v>
      </c>
      <c r="Q94" s="58">
        <f t="shared" si="1"/>
        <v>561270</v>
      </c>
      <c r="R94" s="57"/>
      <c r="S94" s="57"/>
    </row>
    <row r="95" s="24" customFormat="1" ht="12" spans="1:19">
      <c r="A95" s="59"/>
      <c r="B95" s="59"/>
      <c r="C95" s="55"/>
      <c r="D95" s="56" t="s">
        <v>180</v>
      </c>
      <c r="E95" s="57">
        <v>0</v>
      </c>
      <c r="F95" s="56"/>
      <c r="G95" s="57"/>
      <c r="H95" s="57"/>
      <c r="I95" s="57">
        <v>5100</v>
      </c>
      <c r="J95" s="57"/>
      <c r="K95" s="57"/>
      <c r="L95" s="57"/>
      <c r="M95" s="57"/>
      <c r="N95" s="57"/>
      <c r="O95" s="57"/>
      <c r="P95" s="57">
        <v>608750</v>
      </c>
      <c r="Q95" s="58">
        <f t="shared" si="1"/>
        <v>613850</v>
      </c>
      <c r="R95" s="57"/>
      <c r="S95" s="57"/>
    </row>
    <row r="96" s="24" customFormat="1" ht="12" spans="1:19">
      <c r="A96" s="49" t="s">
        <v>165</v>
      </c>
      <c r="B96" s="49" t="s">
        <v>166</v>
      </c>
      <c r="C96" s="55"/>
      <c r="D96" s="51" t="s">
        <v>101</v>
      </c>
      <c r="E96" s="51">
        <v>700</v>
      </c>
      <c r="F96" s="51"/>
      <c r="G96" s="51">
        <v>13920</v>
      </c>
      <c r="H96" s="51"/>
      <c r="I96" s="51"/>
      <c r="J96" s="51"/>
      <c r="K96" s="51"/>
      <c r="L96" s="51"/>
      <c r="M96" s="51"/>
      <c r="N96" s="51"/>
      <c r="O96" s="51"/>
      <c r="P96" s="51"/>
      <c r="Q96" s="51">
        <f t="shared" si="1"/>
        <v>14620</v>
      </c>
      <c r="R96" s="53"/>
      <c r="S96" s="53"/>
    </row>
    <row r="97" s="24" customFormat="1" ht="12" spans="1:19">
      <c r="A97" s="54"/>
      <c r="B97" s="54"/>
      <c r="C97" s="55"/>
      <c r="D97" s="56" t="s">
        <v>102</v>
      </c>
      <c r="E97" s="57">
        <v>196000</v>
      </c>
      <c r="F97" s="56">
        <v>1620</v>
      </c>
      <c r="G97" s="57"/>
      <c r="H97" s="57">
        <v>1960</v>
      </c>
      <c r="I97" s="57">
        <v>55260</v>
      </c>
      <c r="J97" s="57">
        <v>4900</v>
      </c>
      <c r="K97" s="57"/>
      <c r="L97" s="57"/>
      <c r="M97" s="57">
        <v>2000</v>
      </c>
      <c r="N97" s="57">
        <v>4160</v>
      </c>
      <c r="O97" s="57"/>
      <c r="P97" s="57"/>
      <c r="Q97" s="58">
        <f t="shared" si="1"/>
        <v>265900</v>
      </c>
      <c r="R97" s="57"/>
      <c r="S97" s="57"/>
    </row>
    <row r="98" s="24" customFormat="1" ht="12" spans="1:19">
      <c r="A98" s="59"/>
      <c r="B98" s="59"/>
      <c r="C98" s="60"/>
      <c r="D98" s="56" t="s">
        <v>180</v>
      </c>
      <c r="E98" s="57">
        <v>0</v>
      </c>
      <c r="F98" s="56">
        <v>1040</v>
      </c>
      <c r="G98" s="57">
        <v>1100</v>
      </c>
      <c r="H98" s="57">
        <v>3330</v>
      </c>
      <c r="I98" s="57">
        <v>540</v>
      </c>
      <c r="J98" s="57">
        <v>2220</v>
      </c>
      <c r="K98" s="57">
        <v>6240</v>
      </c>
      <c r="L98" s="57">
        <v>1500</v>
      </c>
      <c r="M98" s="57">
        <v>2800</v>
      </c>
      <c r="N98" s="57">
        <v>97560</v>
      </c>
      <c r="O98" s="57">
        <v>127920</v>
      </c>
      <c r="P98" s="57">
        <v>58960</v>
      </c>
      <c r="Q98" s="58">
        <f t="shared" si="1"/>
        <v>303210</v>
      </c>
      <c r="R98" s="57"/>
      <c r="S98" s="57"/>
    </row>
    <row r="99" s="24" customFormat="1" ht="12" spans="1:19">
      <c r="A99" s="49" t="s">
        <v>121</v>
      </c>
      <c r="B99" s="49" t="s">
        <v>122</v>
      </c>
      <c r="C99" s="50" t="s">
        <v>30</v>
      </c>
      <c r="D99" s="51" t="s">
        <v>101</v>
      </c>
      <c r="E99" s="51">
        <v>165000</v>
      </c>
      <c r="F99" s="51"/>
      <c r="G99" s="51">
        <v>42000</v>
      </c>
      <c r="H99" s="51">
        <v>220000</v>
      </c>
      <c r="I99" s="51">
        <v>96750</v>
      </c>
      <c r="J99" s="51">
        <v>220000</v>
      </c>
      <c r="K99" s="51"/>
      <c r="L99" s="51"/>
      <c r="M99" s="51"/>
      <c r="N99" s="51"/>
      <c r="O99" s="51"/>
      <c r="P99" s="51"/>
      <c r="Q99" s="51">
        <f t="shared" si="1"/>
        <v>743750</v>
      </c>
      <c r="R99" s="53">
        <f>(J99-J100)/J100</f>
        <v>2.46456692913386</v>
      </c>
      <c r="S99" s="53">
        <f>(J99-I99)/I99</f>
        <v>1.27390180878553</v>
      </c>
    </row>
    <row r="100" s="24" customFormat="1" ht="12" spans="1:19">
      <c r="A100" s="54"/>
      <c r="B100" s="54"/>
      <c r="C100" s="55"/>
      <c r="D100" s="56" t="s">
        <v>102</v>
      </c>
      <c r="E100" s="57">
        <v>172500</v>
      </c>
      <c r="F100" s="56">
        <v>2000</v>
      </c>
      <c r="G100" s="57">
        <v>202220</v>
      </c>
      <c r="H100" s="57">
        <v>45500</v>
      </c>
      <c r="I100" s="57">
        <v>57000</v>
      </c>
      <c r="J100" s="57">
        <v>63500</v>
      </c>
      <c r="K100" s="57">
        <v>278500</v>
      </c>
      <c r="L100" s="57">
        <v>423500</v>
      </c>
      <c r="M100" s="57">
        <v>99350</v>
      </c>
      <c r="N100" s="57">
        <v>418000</v>
      </c>
      <c r="O100" s="57">
        <v>223000</v>
      </c>
      <c r="P100" s="57">
        <v>331250</v>
      </c>
      <c r="Q100" s="58">
        <f t="shared" si="1"/>
        <v>2316320</v>
      </c>
      <c r="R100" s="57"/>
      <c r="S100" s="57"/>
    </row>
    <row r="101" s="24" customFormat="1" ht="12" spans="1:19">
      <c r="A101" s="59"/>
      <c r="B101" s="59"/>
      <c r="C101" s="55"/>
      <c r="D101" s="56" t="s">
        <v>180</v>
      </c>
      <c r="E101" s="57">
        <v>0</v>
      </c>
      <c r="F101" s="56"/>
      <c r="G101" s="57"/>
      <c r="H101" s="57"/>
      <c r="I101" s="57"/>
      <c r="J101" s="57"/>
      <c r="K101" s="57"/>
      <c r="L101" s="57"/>
      <c r="M101" s="57"/>
      <c r="N101" s="57">
        <v>40000</v>
      </c>
      <c r="O101" s="57"/>
      <c r="P101" s="57">
        <v>2000</v>
      </c>
      <c r="Q101" s="58">
        <f t="shared" si="1"/>
        <v>42000</v>
      </c>
      <c r="R101" s="57"/>
      <c r="S101" s="57"/>
    </row>
    <row r="102" s="24" customFormat="1" ht="12" spans="1:19">
      <c r="A102" s="49"/>
      <c r="B102" s="49" t="s">
        <v>169</v>
      </c>
      <c r="C102" s="55"/>
      <c r="D102" s="51" t="s">
        <v>101</v>
      </c>
      <c r="E102" s="51">
        <v>2160</v>
      </c>
      <c r="F102" s="51"/>
      <c r="G102" s="51">
        <v>7200</v>
      </c>
      <c r="H102" s="51"/>
      <c r="I102" s="51">
        <v>7680</v>
      </c>
      <c r="J102" s="51"/>
      <c r="K102" s="51"/>
      <c r="L102" s="51"/>
      <c r="M102" s="51"/>
      <c r="N102" s="51"/>
      <c r="O102" s="51"/>
      <c r="P102" s="51"/>
      <c r="Q102" s="51">
        <f t="shared" si="1"/>
        <v>17040</v>
      </c>
      <c r="R102" s="53"/>
      <c r="S102" s="53"/>
    </row>
    <row r="103" s="24" customFormat="1" ht="12" spans="1:19">
      <c r="A103" s="54"/>
      <c r="B103" s="54"/>
      <c r="C103" s="55"/>
      <c r="D103" s="56" t="s">
        <v>102</v>
      </c>
      <c r="E103" s="57">
        <v>0</v>
      </c>
      <c r="F103" s="56">
        <v>10540</v>
      </c>
      <c r="G103" s="57">
        <v>21260</v>
      </c>
      <c r="H103" s="57">
        <v>56496</v>
      </c>
      <c r="I103" s="57"/>
      <c r="J103" s="57">
        <v>36608</v>
      </c>
      <c r="K103" s="57"/>
      <c r="L103" s="57">
        <v>3456</v>
      </c>
      <c r="M103" s="57">
        <v>32600</v>
      </c>
      <c r="N103" s="57"/>
      <c r="O103" s="57">
        <v>12130</v>
      </c>
      <c r="P103" s="57">
        <v>61300</v>
      </c>
      <c r="Q103" s="58">
        <f t="shared" si="1"/>
        <v>234390</v>
      </c>
      <c r="R103" s="57"/>
      <c r="S103" s="57"/>
    </row>
    <row r="104" s="24" customFormat="1" ht="12" spans="1:19">
      <c r="A104" s="59"/>
      <c r="B104" s="59"/>
      <c r="C104" s="55"/>
      <c r="D104" s="56" t="s">
        <v>180</v>
      </c>
      <c r="E104" s="57">
        <v>39800</v>
      </c>
      <c r="F104" s="56"/>
      <c r="G104" s="57">
        <v>12200</v>
      </c>
      <c r="H104" s="57">
        <v>4690</v>
      </c>
      <c r="I104" s="57"/>
      <c r="J104" s="57">
        <v>14700</v>
      </c>
      <c r="K104" s="57">
        <v>2440</v>
      </c>
      <c r="L104" s="57"/>
      <c r="M104" s="57"/>
      <c r="N104" s="57">
        <v>1225</v>
      </c>
      <c r="O104" s="57"/>
      <c r="P104" s="57">
        <v>6912</v>
      </c>
      <c r="Q104" s="58">
        <f t="shared" ref="Q104:Q128" si="2">SUM(E104:P104)</f>
        <v>81967</v>
      </c>
      <c r="R104" s="57"/>
      <c r="S104" s="57"/>
    </row>
    <row r="105" s="24" customFormat="1" ht="12" spans="1:19">
      <c r="A105" s="49" t="s">
        <v>151</v>
      </c>
      <c r="B105" s="49" t="s">
        <v>152</v>
      </c>
      <c r="C105" s="55"/>
      <c r="D105" s="51" t="s">
        <v>101</v>
      </c>
      <c r="E105" s="51">
        <v>26000</v>
      </c>
      <c r="F105" s="51">
        <v>26000</v>
      </c>
      <c r="G105" s="51">
        <v>26000</v>
      </c>
      <c r="H105" s="51">
        <v>28600</v>
      </c>
      <c r="I105" s="51">
        <v>39000</v>
      </c>
      <c r="J105" s="51">
        <v>62400</v>
      </c>
      <c r="K105" s="51"/>
      <c r="L105" s="51"/>
      <c r="M105" s="51"/>
      <c r="N105" s="51"/>
      <c r="O105" s="51"/>
      <c r="P105" s="51"/>
      <c r="Q105" s="51">
        <f t="shared" si="2"/>
        <v>208000</v>
      </c>
      <c r="R105" s="53">
        <f>(J105-J106)/J106</f>
        <v>1.4</v>
      </c>
      <c r="S105" s="53">
        <f>(J105-I105)/I105</f>
        <v>0.6</v>
      </c>
    </row>
    <row r="106" s="24" customFormat="1" ht="12" spans="1:19">
      <c r="A106" s="54"/>
      <c r="B106" s="54"/>
      <c r="C106" s="55"/>
      <c r="D106" s="56" t="s">
        <v>102</v>
      </c>
      <c r="E106" s="57">
        <v>3400</v>
      </c>
      <c r="F106" s="56">
        <v>26000</v>
      </c>
      <c r="G106" s="57"/>
      <c r="H106" s="57">
        <v>26000</v>
      </c>
      <c r="I106" s="57">
        <v>26000</v>
      </c>
      <c r="J106" s="57">
        <v>26000</v>
      </c>
      <c r="K106" s="57">
        <v>26000</v>
      </c>
      <c r="L106" s="57">
        <v>26000</v>
      </c>
      <c r="M106" s="57">
        <v>26000</v>
      </c>
      <c r="N106" s="57">
        <v>13450</v>
      </c>
      <c r="O106" s="57">
        <v>26000</v>
      </c>
      <c r="P106" s="57">
        <v>26000</v>
      </c>
      <c r="Q106" s="58">
        <f t="shared" si="2"/>
        <v>250850</v>
      </c>
      <c r="R106" s="57"/>
      <c r="S106" s="57"/>
    </row>
    <row r="107" s="24" customFormat="1" ht="12" spans="1:19">
      <c r="A107" s="59"/>
      <c r="B107" s="59"/>
      <c r="C107" s="55"/>
      <c r="D107" s="56" t="s">
        <v>180</v>
      </c>
      <c r="E107" s="57">
        <v>0</v>
      </c>
      <c r="F107" s="56"/>
      <c r="G107" s="57"/>
      <c r="H107" s="57"/>
      <c r="I107" s="57">
        <v>340</v>
      </c>
      <c r="J107" s="57"/>
      <c r="K107" s="57"/>
      <c r="L107" s="57">
        <v>850</v>
      </c>
      <c r="M107" s="57"/>
      <c r="N107" s="57">
        <v>5600</v>
      </c>
      <c r="O107" s="57">
        <v>15700</v>
      </c>
      <c r="P107" s="57">
        <v>26000</v>
      </c>
      <c r="Q107" s="58">
        <f t="shared" si="2"/>
        <v>48490</v>
      </c>
      <c r="R107" s="57"/>
      <c r="S107" s="57"/>
    </row>
    <row r="108" s="24" customFormat="1" ht="12" spans="1:19">
      <c r="A108" s="49"/>
      <c r="B108" s="49" t="s">
        <v>143</v>
      </c>
      <c r="C108" s="55"/>
      <c r="D108" s="51" t="s">
        <v>101</v>
      </c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>
        <f t="shared" si="2"/>
        <v>0</v>
      </c>
      <c r="R108" s="53"/>
      <c r="S108" s="53"/>
    </row>
    <row r="109" s="24" customFormat="1" ht="12" spans="1:19">
      <c r="A109" s="54"/>
      <c r="B109" s="54"/>
      <c r="C109" s="55"/>
      <c r="D109" s="56" t="s">
        <v>102</v>
      </c>
      <c r="E109" s="57">
        <v>0</v>
      </c>
      <c r="F109" s="56">
        <v>600</v>
      </c>
      <c r="G109" s="57"/>
      <c r="H109" s="57"/>
      <c r="I109" s="57">
        <v>1390</v>
      </c>
      <c r="J109" s="57"/>
      <c r="K109" s="57">
        <v>308000</v>
      </c>
      <c r="L109" s="57">
        <v>61600</v>
      </c>
      <c r="M109" s="57"/>
      <c r="N109" s="57">
        <v>176000</v>
      </c>
      <c r="O109" s="57"/>
      <c r="P109" s="57">
        <v>13072</v>
      </c>
      <c r="Q109" s="58">
        <f t="shared" si="2"/>
        <v>560662</v>
      </c>
      <c r="R109" s="57"/>
      <c r="S109" s="57"/>
    </row>
    <row r="110" s="24" customFormat="1" ht="12" spans="1:19">
      <c r="A110" s="59"/>
      <c r="B110" s="59"/>
      <c r="C110" s="55"/>
      <c r="D110" s="56" t="s">
        <v>180</v>
      </c>
      <c r="E110" s="57">
        <v>0</v>
      </c>
      <c r="F110" s="56">
        <v>6400</v>
      </c>
      <c r="G110" s="57">
        <v>5450</v>
      </c>
      <c r="H110" s="57"/>
      <c r="I110" s="57"/>
      <c r="J110" s="57"/>
      <c r="K110" s="57"/>
      <c r="L110" s="57"/>
      <c r="M110" s="57"/>
      <c r="N110" s="57"/>
      <c r="O110" s="57"/>
      <c r="P110" s="57">
        <v>2000</v>
      </c>
      <c r="Q110" s="58">
        <f t="shared" si="2"/>
        <v>13850</v>
      </c>
      <c r="R110" s="57"/>
      <c r="S110" s="57"/>
    </row>
    <row r="111" s="24" customFormat="1" ht="12" spans="1:19">
      <c r="A111" s="49"/>
      <c r="B111" s="49" t="s">
        <v>172</v>
      </c>
      <c r="C111" s="55"/>
      <c r="D111" s="51" t="s">
        <v>101</v>
      </c>
      <c r="E111" s="51"/>
      <c r="F111" s="51"/>
      <c r="G111" s="51"/>
      <c r="H111" s="51">
        <v>24000</v>
      </c>
      <c r="I111" s="51"/>
      <c r="J111" s="51">
        <v>24000</v>
      </c>
      <c r="K111" s="51"/>
      <c r="L111" s="51"/>
      <c r="M111" s="51"/>
      <c r="N111" s="51"/>
      <c r="O111" s="51"/>
      <c r="P111" s="51"/>
      <c r="Q111" s="51">
        <f t="shared" si="2"/>
        <v>48000</v>
      </c>
      <c r="R111" s="53">
        <f>(J111-J112)/J112</f>
        <v>2.33333333333333</v>
      </c>
      <c r="S111" s="53"/>
    </row>
    <row r="112" s="24" customFormat="1" ht="12" spans="1:19">
      <c r="A112" s="54"/>
      <c r="B112" s="54"/>
      <c r="C112" s="55"/>
      <c r="D112" s="56" t="s">
        <v>102</v>
      </c>
      <c r="E112" s="57">
        <v>0</v>
      </c>
      <c r="F112" s="56"/>
      <c r="G112" s="57">
        <v>4800</v>
      </c>
      <c r="H112" s="57">
        <v>12000</v>
      </c>
      <c r="I112" s="57">
        <v>12000</v>
      </c>
      <c r="J112" s="57">
        <v>7200</v>
      </c>
      <c r="K112" s="57">
        <v>10500</v>
      </c>
      <c r="L112" s="57"/>
      <c r="M112" s="57">
        <v>74400</v>
      </c>
      <c r="N112" s="57">
        <v>36000</v>
      </c>
      <c r="O112" s="57">
        <v>45000</v>
      </c>
      <c r="P112" s="57"/>
      <c r="Q112" s="58">
        <f t="shared" si="2"/>
        <v>201900</v>
      </c>
      <c r="R112" s="57"/>
      <c r="S112" s="57"/>
    </row>
    <row r="113" s="24" customFormat="1" ht="12" spans="1:19">
      <c r="A113" s="59"/>
      <c r="B113" s="59"/>
      <c r="C113" s="60"/>
      <c r="D113" s="56" t="s">
        <v>180</v>
      </c>
      <c r="E113" s="57">
        <v>11000</v>
      </c>
      <c r="F113" s="56"/>
      <c r="G113" s="57">
        <v>24300</v>
      </c>
      <c r="H113" s="57">
        <v>9852</v>
      </c>
      <c r="I113" s="57">
        <v>14400</v>
      </c>
      <c r="J113" s="57"/>
      <c r="K113" s="57"/>
      <c r="L113" s="57">
        <v>12000</v>
      </c>
      <c r="M113" s="57"/>
      <c r="N113" s="57">
        <v>4800</v>
      </c>
      <c r="O113" s="57">
        <v>4800</v>
      </c>
      <c r="P113" s="57"/>
      <c r="Q113" s="58">
        <f t="shared" si="2"/>
        <v>81152</v>
      </c>
      <c r="R113" s="57"/>
      <c r="S113" s="57"/>
    </row>
    <row r="114" s="24" customFormat="1" ht="12" spans="1:19">
      <c r="A114" s="49" t="s">
        <v>134</v>
      </c>
      <c r="B114" s="49" t="s">
        <v>135</v>
      </c>
      <c r="C114" s="50" t="s">
        <v>25</v>
      </c>
      <c r="D114" s="51" t="s">
        <v>101</v>
      </c>
      <c r="E114" s="51">
        <v>95485</v>
      </c>
      <c r="F114" s="51">
        <v>11475</v>
      </c>
      <c r="G114" s="51">
        <v>57970</v>
      </c>
      <c r="H114" s="51">
        <v>123435</v>
      </c>
      <c r="I114" s="51"/>
      <c r="J114" s="51">
        <v>109580</v>
      </c>
      <c r="K114" s="51"/>
      <c r="L114" s="51"/>
      <c r="M114" s="51"/>
      <c r="N114" s="51"/>
      <c r="O114" s="51"/>
      <c r="P114" s="51"/>
      <c r="Q114" s="51">
        <f t="shared" si="2"/>
        <v>397945</v>
      </c>
      <c r="R114" s="53">
        <f>(J114-J115)/J115</f>
        <v>1.12364341085271</v>
      </c>
      <c r="S114" s="53"/>
    </row>
    <row r="115" s="24" customFormat="1" ht="12" spans="1:19">
      <c r="A115" s="54"/>
      <c r="B115" s="54"/>
      <c r="C115" s="55"/>
      <c r="D115" s="56" t="s">
        <v>102</v>
      </c>
      <c r="E115" s="57">
        <v>5400</v>
      </c>
      <c r="F115" s="56">
        <v>7400</v>
      </c>
      <c r="G115" s="57">
        <v>3700</v>
      </c>
      <c r="H115" s="57">
        <v>3080</v>
      </c>
      <c r="I115" s="57">
        <v>5400</v>
      </c>
      <c r="J115" s="57">
        <v>51600</v>
      </c>
      <c r="K115" s="57">
        <v>219000</v>
      </c>
      <c r="L115" s="57"/>
      <c r="M115" s="57">
        <v>194310</v>
      </c>
      <c r="N115" s="57">
        <v>80665</v>
      </c>
      <c r="O115" s="57">
        <v>2000</v>
      </c>
      <c r="P115" s="57">
        <v>89550</v>
      </c>
      <c r="Q115" s="58">
        <f t="shared" si="2"/>
        <v>662105</v>
      </c>
      <c r="R115" s="57"/>
      <c r="S115" s="57"/>
    </row>
    <row r="116" s="24" customFormat="1" ht="12" spans="1:19">
      <c r="A116" s="59"/>
      <c r="B116" s="59"/>
      <c r="C116" s="60"/>
      <c r="D116" s="56" t="s">
        <v>180</v>
      </c>
      <c r="E116" s="57">
        <v>560</v>
      </c>
      <c r="F116" s="56">
        <v>2240</v>
      </c>
      <c r="G116" s="57">
        <v>2700</v>
      </c>
      <c r="H116" s="57">
        <v>5450</v>
      </c>
      <c r="I116" s="57"/>
      <c r="J116" s="57">
        <v>6870</v>
      </c>
      <c r="K116" s="57">
        <v>7000</v>
      </c>
      <c r="L116" s="57">
        <v>20540</v>
      </c>
      <c r="M116" s="57">
        <v>23000</v>
      </c>
      <c r="N116" s="57">
        <v>86300</v>
      </c>
      <c r="O116" s="57">
        <v>4400</v>
      </c>
      <c r="P116" s="57">
        <v>14010</v>
      </c>
      <c r="Q116" s="58">
        <f t="shared" si="2"/>
        <v>173070</v>
      </c>
      <c r="R116" s="57"/>
      <c r="S116" s="57"/>
    </row>
    <row r="117" s="24" customFormat="1" ht="12" spans="1:19">
      <c r="A117" s="49" t="s">
        <v>127</v>
      </c>
      <c r="B117" s="49" t="s">
        <v>128</v>
      </c>
      <c r="C117" s="50" t="s">
        <v>26</v>
      </c>
      <c r="D117" s="51" t="s">
        <v>101</v>
      </c>
      <c r="E117" s="51">
        <v>91980</v>
      </c>
      <c r="F117" s="51">
        <v>2100</v>
      </c>
      <c r="G117" s="51">
        <v>108290</v>
      </c>
      <c r="H117" s="51">
        <v>118240</v>
      </c>
      <c r="I117" s="51">
        <v>3360</v>
      </c>
      <c r="J117" s="51">
        <v>91546</v>
      </c>
      <c r="K117" s="51"/>
      <c r="L117" s="51"/>
      <c r="M117" s="51"/>
      <c r="N117" s="51"/>
      <c r="O117" s="51"/>
      <c r="P117" s="51"/>
      <c r="Q117" s="51">
        <f t="shared" si="2"/>
        <v>415516</v>
      </c>
      <c r="R117" s="53">
        <f>(J117-J118)/J118</f>
        <v>0.541178451178451</v>
      </c>
      <c r="S117" s="53">
        <f>(J117-I117)/I117</f>
        <v>26.2458333333333</v>
      </c>
    </row>
    <row r="118" s="24" customFormat="1" ht="12" spans="1:19">
      <c r="A118" s="54"/>
      <c r="B118" s="54"/>
      <c r="C118" s="55"/>
      <c r="D118" s="56" t="s">
        <v>102</v>
      </c>
      <c r="E118" s="57">
        <v>55700</v>
      </c>
      <c r="F118" s="56">
        <v>65400</v>
      </c>
      <c r="G118" s="57">
        <v>118500</v>
      </c>
      <c r="H118" s="57">
        <v>9900</v>
      </c>
      <c r="I118" s="57">
        <v>73200</v>
      </c>
      <c r="J118" s="57">
        <v>59400</v>
      </c>
      <c r="K118" s="57">
        <v>73500</v>
      </c>
      <c r="L118" s="57">
        <v>100500</v>
      </c>
      <c r="M118" s="57">
        <v>71400</v>
      </c>
      <c r="N118" s="57">
        <v>35610</v>
      </c>
      <c r="O118" s="57">
        <v>174720</v>
      </c>
      <c r="P118" s="57"/>
      <c r="Q118" s="58">
        <f t="shared" si="2"/>
        <v>837830</v>
      </c>
      <c r="R118" s="57"/>
      <c r="S118" s="57"/>
    </row>
    <row r="119" s="24" customFormat="1" ht="12" spans="1:19">
      <c r="A119" s="59"/>
      <c r="B119" s="59"/>
      <c r="C119" s="60"/>
      <c r="D119" s="56" t="s">
        <v>180</v>
      </c>
      <c r="E119" s="57">
        <v>29800</v>
      </c>
      <c r="F119" s="56">
        <v>11900</v>
      </c>
      <c r="G119" s="57">
        <v>44700</v>
      </c>
      <c r="H119" s="57"/>
      <c r="I119" s="57">
        <v>11700</v>
      </c>
      <c r="J119" s="57">
        <v>115625</v>
      </c>
      <c r="K119" s="57">
        <v>54720</v>
      </c>
      <c r="L119" s="57">
        <v>91580</v>
      </c>
      <c r="M119" s="57">
        <v>20856</v>
      </c>
      <c r="N119" s="57">
        <v>11900</v>
      </c>
      <c r="O119" s="57">
        <v>104580</v>
      </c>
      <c r="P119" s="57">
        <v>53500</v>
      </c>
      <c r="Q119" s="58">
        <f t="shared" si="2"/>
        <v>550861</v>
      </c>
      <c r="R119" s="57"/>
      <c r="S119" s="57"/>
    </row>
    <row r="120" s="24" customFormat="1" ht="12" spans="1:19">
      <c r="A120" s="49"/>
      <c r="B120" s="49" t="s">
        <v>174</v>
      </c>
      <c r="C120" s="50" t="s">
        <v>175</v>
      </c>
      <c r="D120" s="51" t="s">
        <v>101</v>
      </c>
      <c r="E120" s="51">
        <v>7728</v>
      </c>
      <c r="F120" s="51"/>
      <c r="G120" s="51"/>
      <c r="H120" s="51"/>
      <c r="I120" s="51"/>
      <c r="J120" s="51">
        <v>5040</v>
      </c>
      <c r="K120" s="51"/>
      <c r="L120" s="51"/>
      <c r="M120" s="51"/>
      <c r="N120" s="51"/>
      <c r="O120" s="51"/>
      <c r="P120" s="51"/>
      <c r="Q120" s="51">
        <f t="shared" si="2"/>
        <v>12768</v>
      </c>
      <c r="R120" s="52">
        <f>(J120-J121)/J121</f>
        <v>-0.481481481481481</v>
      </c>
      <c r="S120" s="53"/>
    </row>
    <row r="121" s="24" customFormat="1" ht="12" spans="1:19">
      <c r="A121" s="54"/>
      <c r="B121" s="54"/>
      <c r="C121" s="55"/>
      <c r="D121" s="56" t="s">
        <v>102</v>
      </c>
      <c r="E121" s="57">
        <v>16800</v>
      </c>
      <c r="F121" s="56">
        <v>10080</v>
      </c>
      <c r="G121" s="57"/>
      <c r="H121" s="57"/>
      <c r="I121" s="57">
        <v>1680</v>
      </c>
      <c r="J121" s="57">
        <v>9720</v>
      </c>
      <c r="K121" s="57"/>
      <c r="L121" s="57">
        <v>5960</v>
      </c>
      <c r="M121" s="57">
        <v>76440</v>
      </c>
      <c r="N121" s="57"/>
      <c r="O121" s="57">
        <v>3360</v>
      </c>
      <c r="P121" s="57">
        <v>61320</v>
      </c>
      <c r="Q121" s="58">
        <f t="shared" si="2"/>
        <v>185360</v>
      </c>
      <c r="R121" s="57"/>
      <c r="S121" s="57"/>
    </row>
    <row r="122" s="24" customFormat="1" ht="12" spans="1:19">
      <c r="A122" s="59"/>
      <c r="B122" s="59"/>
      <c r="C122" s="60"/>
      <c r="D122" s="56" t="s">
        <v>180</v>
      </c>
      <c r="E122" s="57">
        <v>33600</v>
      </c>
      <c r="F122" s="56"/>
      <c r="G122" s="57">
        <v>8400</v>
      </c>
      <c r="H122" s="57"/>
      <c r="I122" s="57"/>
      <c r="J122" s="57"/>
      <c r="K122" s="57"/>
      <c r="L122" s="57"/>
      <c r="M122" s="57"/>
      <c r="N122" s="57">
        <v>17450</v>
      </c>
      <c r="O122" s="57"/>
      <c r="P122" s="57"/>
      <c r="Q122" s="58">
        <f t="shared" si="2"/>
        <v>59450</v>
      </c>
      <c r="R122" s="57"/>
      <c r="S122" s="57"/>
    </row>
    <row r="123" s="24" customFormat="1" ht="12" spans="1:19">
      <c r="A123" s="49"/>
      <c r="B123" s="49" t="s">
        <v>170</v>
      </c>
      <c r="C123" s="50" t="s">
        <v>40</v>
      </c>
      <c r="D123" s="51" t="s">
        <v>101</v>
      </c>
      <c r="E123" s="51"/>
      <c r="F123" s="51"/>
      <c r="G123" s="51">
        <v>0</v>
      </c>
      <c r="H123" s="51">
        <v>36000</v>
      </c>
      <c r="I123" s="51"/>
      <c r="J123" s="51"/>
      <c r="K123" s="51"/>
      <c r="L123" s="51"/>
      <c r="M123" s="51"/>
      <c r="N123" s="51"/>
      <c r="O123" s="51"/>
      <c r="P123" s="51"/>
      <c r="Q123" s="51">
        <f t="shared" si="2"/>
        <v>36000</v>
      </c>
      <c r="R123" s="53"/>
      <c r="S123" s="53"/>
    </row>
    <row r="124" s="24" customFormat="1" ht="12" spans="1:19">
      <c r="A124" s="54"/>
      <c r="B124" s="54"/>
      <c r="C124" s="55"/>
      <c r="D124" s="56" t="s">
        <v>102</v>
      </c>
      <c r="E124" s="57">
        <v>18000</v>
      </c>
      <c r="F124" s="56"/>
      <c r="G124" s="57">
        <v>18000</v>
      </c>
      <c r="H124" s="57"/>
      <c r="I124" s="57">
        <v>18000</v>
      </c>
      <c r="J124" s="57"/>
      <c r="K124" s="57">
        <v>36000</v>
      </c>
      <c r="L124" s="57"/>
      <c r="M124" s="57">
        <v>36000</v>
      </c>
      <c r="N124" s="57">
        <v>2700</v>
      </c>
      <c r="O124" s="57">
        <v>79200</v>
      </c>
      <c r="P124" s="57"/>
      <c r="Q124" s="58">
        <f t="shared" si="2"/>
        <v>207900</v>
      </c>
      <c r="R124" s="57"/>
      <c r="S124" s="57"/>
    </row>
    <row r="125" s="24" customFormat="1" ht="12" spans="1:19">
      <c r="A125" s="59"/>
      <c r="B125" s="59"/>
      <c r="C125" s="60"/>
      <c r="D125" s="56" t="s">
        <v>180</v>
      </c>
      <c r="E125" s="57">
        <v>40998</v>
      </c>
      <c r="F125" s="56"/>
      <c r="G125" s="57">
        <v>36000</v>
      </c>
      <c r="H125" s="57"/>
      <c r="I125" s="57">
        <v>24000</v>
      </c>
      <c r="J125" s="57"/>
      <c r="K125" s="57">
        <v>46800</v>
      </c>
      <c r="L125" s="57">
        <v>38480</v>
      </c>
      <c r="M125" s="57">
        <v>1800</v>
      </c>
      <c r="N125" s="57"/>
      <c r="O125" s="57"/>
      <c r="P125" s="57"/>
      <c r="Q125" s="58">
        <f t="shared" si="2"/>
        <v>188078</v>
      </c>
      <c r="R125" s="57"/>
      <c r="S125" s="57"/>
    </row>
    <row r="126" s="24" customFormat="1" ht="12" spans="1:19">
      <c r="A126" s="49"/>
      <c r="B126" s="49" t="s">
        <v>129</v>
      </c>
      <c r="C126" s="50" t="s">
        <v>34</v>
      </c>
      <c r="D126" s="51" t="s">
        <v>101</v>
      </c>
      <c r="E126" s="51">
        <v>350000</v>
      </c>
      <c r="F126" s="51"/>
      <c r="G126" s="51"/>
      <c r="H126" s="51"/>
      <c r="I126" s="51"/>
      <c r="J126" s="51">
        <v>113400</v>
      </c>
      <c r="K126" s="51"/>
      <c r="L126" s="51"/>
      <c r="M126" s="51"/>
      <c r="N126" s="51"/>
      <c r="O126" s="51"/>
      <c r="P126" s="51"/>
      <c r="Q126" s="51">
        <f t="shared" si="2"/>
        <v>463400</v>
      </c>
      <c r="R126" s="52"/>
      <c r="S126" s="53"/>
    </row>
    <row r="127" s="24" customFormat="1" ht="12" spans="1:19">
      <c r="A127" s="54"/>
      <c r="B127" s="54"/>
      <c r="C127" s="55"/>
      <c r="D127" s="56" t="s">
        <v>102</v>
      </c>
      <c r="E127" s="57">
        <v>0</v>
      </c>
      <c r="F127" s="56"/>
      <c r="G127" s="57">
        <v>194600</v>
      </c>
      <c r="H127" s="57"/>
      <c r="I127" s="57"/>
      <c r="J127" s="57"/>
      <c r="K127" s="57"/>
      <c r="L127" s="57">
        <v>360400</v>
      </c>
      <c r="M127" s="57">
        <v>56000</v>
      </c>
      <c r="N127" s="57"/>
      <c r="O127" s="57"/>
      <c r="P127" s="57">
        <v>182000</v>
      </c>
      <c r="Q127" s="58">
        <f t="shared" si="2"/>
        <v>793000</v>
      </c>
      <c r="R127" s="57"/>
      <c r="S127" s="57"/>
    </row>
    <row r="128" s="24" customFormat="1" ht="12" spans="1:19">
      <c r="A128" s="59"/>
      <c r="B128" s="59"/>
      <c r="C128" s="60"/>
      <c r="D128" s="56" t="s">
        <v>180</v>
      </c>
      <c r="E128" s="57">
        <v>247200</v>
      </c>
      <c r="F128" s="56">
        <v>46500</v>
      </c>
      <c r="G128" s="57"/>
      <c r="H128" s="57">
        <v>201600</v>
      </c>
      <c r="I128" s="57"/>
      <c r="J128" s="57">
        <v>126000</v>
      </c>
      <c r="K128" s="57"/>
      <c r="L128" s="57">
        <v>162600</v>
      </c>
      <c r="M128" s="57">
        <v>257100</v>
      </c>
      <c r="N128" s="57">
        <v>277500</v>
      </c>
      <c r="O128" s="57">
        <v>105000</v>
      </c>
      <c r="P128" s="57"/>
      <c r="Q128" s="58">
        <f t="shared" si="2"/>
        <v>1423500</v>
      </c>
      <c r="R128" s="57"/>
      <c r="S128" s="57"/>
    </row>
  </sheetData>
  <autoFilter xmlns:etc="http://www.wps.cn/officeDocument/2017/etCustomData" ref="A38:T128" etc:filterBottomFollowUsedRange="0">
    <extLst/>
  </autoFilter>
  <mergeCells count="102">
    <mergeCell ref="A1:F1"/>
    <mergeCell ref="I1:N1"/>
    <mergeCell ref="A33:D33"/>
    <mergeCell ref="A37:A38"/>
    <mergeCell ref="A39:A41"/>
    <mergeCell ref="A42:A44"/>
    <mergeCell ref="A45:A47"/>
    <mergeCell ref="A48:A50"/>
    <mergeCell ref="A51:A53"/>
    <mergeCell ref="A54:A56"/>
    <mergeCell ref="A57:A59"/>
    <mergeCell ref="A60:A65"/>
    <mergeCell ref="A66:A68"/>
    <mergeCell ref="A69:A71"/>
    <mergeCell ref="A72:A74"/>
    <mergeCell ref="A75:A77"/>
    <mergeCell ref="A78:A80"/>
    <mergeCell ref="A81:A83"/>
    <mergeCell ref="A84:A86"/>
    <mergeCell ref="A87:A89"/>
    <mergeCell ref="A90:A92"/>
    <mergeCell ref="A93:A95"/>
    <mergeCell ref="A96:A98"/>
    <mergeCell ref="A99:A101"/>
    <mergeCell ref="A102:A104"/>
    <mergeCell ref="A105:A107"/>
    <mergeCell ref="A108:A110"/>
    <mergeCell ref="A111:A113"/>
    <mergeCell ref="A114:A116"/>
    <mergeCell ref="A117:A119"/>
    <mergeCell ref="A120:A122"/>
    <mergeCell ref="A123:A125"/>
    <mergeCell ref="A126:A128"/>
    <mergeCell ref="B37:B38"/>
    <mergeCell ref="B39:B41"/>
    <mergeCell ref="B42:B44"/>
    <mergeCell ref="B45:B47"/>
    <mergeCell ref="B48:B50"/>
    <mergeCell ref="B51:B53"/>
    <mergeCell ref="B54:B56"/>
    <mergeCell ref="B57:B59"/>
    <mergeCell ref="B60:B62"/>
    <mergeCell ref="B63:B65"/>
    <mergeCell ref="B66:B68"/>
    <mergeCell ref="B69:B71"/>
    <mergeCell ref="B72:B74"/>
    <mergeCell ref="B75:B77"/>
    <mergeCell ref="B78:B80"/>
    <mergeCell ref="B81:B83"/>
    <mergeCell ref="B84:B86"/>
    <mergeCell ref="B87:B89"/>
    <mergeCell ref="B90:B92"/>
    <mergeCell ref="B93:B95"/>
    <mergeCell ref="B96:B98"/>
    <mergeCell ref="B99:B101"/>
    <mergeCell ref="B102:B104"/>
    <mergeCell ref="B105:B107"/>
    <mergeCell ref="B108:B110"/>
    <mergeCell ref="B111:B113"/>
    <mergeCell ref="B114:B116"/>
    <mergeCell ref="B117:B119"/>
    <mergeCell ref="B120:B122"/>
    <mergeCell ref="B123:B125"/>
    <mergeCell ref="B126:B128"/>
    <mergeCell ref="C37:C38"/>
    <mergeCell ref="C39:C41"/>
    <mergeCell ref="C42:C44"/>
    <mergeCell ref="C45:C47"/>
    <mergeCell ref="C48:C50"/>
    <mergeCell ref="C51:C53"/>
    <mergeCell ref="C54:C56"/>
    <mergeCell ref="C57:C68"/>
    <mergeCell ref="C69:C71"/>
    <mergeCell ref="C72:C74"/>
    <mergeCell ref="C75:C80"/>
    <mergeCell ref="C81:C83"/>
    <mergeCell ref="C84:C86"/>
    <mergeCell ref="C87:C89"/>
    <mergeCell ref="C90:C92"/>
    <mergeCell ref="C93:C98"/>
    <mergeCell ref="C99:C113"/>
    <mergeCell ref="C114:C116"/>
    <mergeCell ref="C117:C119"/>
    <mergeCell ref="C120:C122"/>
    <mergeCell ref="C123:C125"/>
    <mergeCell ref="C126:C12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N37:N38"/>
    <mergeCell ref="O37:O38"/>
    <mergeCell ref="P37:P38"/>
    <mergeCell ref="Q37:Q38"/>
    <mergeCell ref="R37:R38"/>
    <mergeCell ref="S37:S38"/>
  </mergeCells>
  <conditionalFormatting sqref="C3:C32">
    <cfRule type="duplicateValues" dxfId="2" priority="10"/>
  </conditionalFormatting>
  <conditionalFormatting sqref="B1:B2 B27:B154 B167:B1048576">
    <cfRule type="duplicateValues" dxfId="2" priority="3"/>
  </conditionalFormatting>
  <conditionalFormatting sqref="C3:C32 K3:K32">
    <cfRule type="duplicateValues" dxfId="2" priority="9"/>
    <cfRule type="duplicateValues" dxfId="2" priority="6"/>
  </conditionalFormatting>
  <conditionalFormatting sqref="K3:K32 C3:C32">
    <cfRule type="duplicateValues" dxfId="2" priority="5"/>
    <cfRule type="duplicateValues" dxfId="2" priority="4"/>
    <cfRule type="duplicateValues" dxfId="2" priority="2"/>
    <cfRule type="duplicateValues" dxfId="3" priority="1"/>
  </conditionalFormatting>
  <conditionalFormatting sqref="E3:F32">
    <cfRule type="duplicateValues" dxfId="2" priority="7"/>
  </conditionalFormatting>
  <pageMargins left="0.75" right="0.75" top="1" bottom="1" header="0.5" footer="0.5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>
    <tabColor rgb="FFFF6C0D"/>
  </sheetPr>
  <dimension ref="B1:P20"/>
  <sheetViews>
    <sheetView showGridLines="0" workbookViewId="0">
      <selection activeCell="O14" sqref="O14"/>
    </sheetView>
  </sheetViews>
  <sheetFormatPr defaultColWidth="9" defaultRowHeight="14.25"/>
  <cols>
    <col min="1" max="1" width="0.441666666666667" style="1" customWidth="1"/>
    <col min="2" max="2" width="18.25" style="1" customWidth="1"/>
    <col min="3" max="3" width="19.85" style="1" customWidth="1"/>
    <col min="4" max="15" width="13" style="1" customWidth="1"/>
    <col min="16" max="16" width="18.525" style="1" customWidth="1"/>
    <col min="17" max="17" width="4" style="1" customWidth="1"/>
    <col min="18" max="19" width="12.6333333333333" style="1"/>
    <col min="20" max="16384" width="9" style="1"/>
  </cols>
  <sheetData>
    <row r="1" s="1" customFormat="1" ht="27" customHeight="1" spans="2:16">
      <c r="B1" s="2" t="s">
        <v>181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="1" customFormat="1" ht="18" customHeight="1" spans="2:16">
      <c r="B2" s="3" t="s">
        <v>182</v>
      </c>
      <c r="C2" s="3"/>
      <c r="D2" s="3"/>
      <c r="E2" s="3"/>
      <c r="F2" s="3"/>
      <c r="G2" s="2"/>
      <c r="H2" s="2"/>
      <c r="I2" s="2"/>
      <c r="J2" s="2"/>
      <c r="K2" s="2"/>
      <c r="L2" s="2"/>
      <c r="M2" s="2"/>
      <c r="N2" s="2"/>
      <c r="O2" s="2"/>
      <c r="P2" s="4" t="s">
        <v>183</v>
      </c>
    </row>
    <row r="3" s="1" customFormat="1" ht="52" customHeight="1" spans="2:16">
      <c r="B3" s="5" t="s">
        <v>3</v>
      </c>
      <c r="C3" s="6" t="s">
        <v>184</v>
      </c>
      <c r="D3" s="7" t="s">
        <v>185</v>
      </c>
      <c r="E3" s="7" t="s">
        <v>186</v>
      </c>
      <c r="F3" s="7" t="s">
        <v>187</v>
      </c>
      <c r="G3" s="7" t="s">
        <v>188</v>
      </c>
      <c r="H3" s="7" t="s">
        <v>189</v>
      </c>
      <c r="I3" s="7" t="s">
        <v>190</v>
      </c>
      <c r="J3" s="7" t="s">
        <v>191</v>
      </c>
      <c r="K3" s="7" t="s">
        <v>192</v>
      </c>
      <c r="L3" s="7" t="s">
        <v>193</v>
      </c>
      <c r="M3" s="7" t="s">
        <v>194</v>
      </c>
      <c r="N3" s="7" t="s">
        <v>195</v>
      </c>
      <c r="O3" s="7" t="s">
        <v>196</v>
      </c>
      <c r="P3" s="8" t="s">
        <v>68</v>
      </c>
    </row>
    <row r="4" s="1" customFormat="1" ht="22" customHeight="1" spans="2:16">
      <c r="B4" s="9" t="s">
        <v>18</v>
      </c>
      <c r="C4" s="10" t="s">
        <v>180</v>
      </c>
      <c r="D4" s="10">
        <v>2186293.4</v>
      </c>
      <c r="E4" s="10">
        <v>570391.9</v>
      </c>
      <c r="F4" s="10">
        <v>1456403.86</v>
      </c>
      <c r="G4" s="10">
        <v>1290093.4</v>
      </c>
      <c r="H4" s="10">
        <v>911499.6</v>
      </c>
      <c r="I4" s="10">
        <v>1237373.6</v>
      </c>
      <c r="J4" s="10">
        <v>1639116.64</v>
      </c>
      <c r="K4" s="10">
        <v>1323848</v>
      </c>
      <c r="L4" s="10">
        <v>1446602</v>
      </c>
      <c r="M4" s="10">
        <v>1448070.2</v>
      </c>
      <c r="N4" s="10">
        <v>1700843.251</v>
      </c>
      <c r="O4" s="10">
        <v>2134745.9</v>
      </c>
      <c r="P4" s="11">
        <f>SUM(D4:O4)</f>
        <v>17345281.751</v>
      </c>
    </row>
    <row r="5" s="1" customFormat="1" ht="22" customHeight="1" spans="2:16">
      <c r="B5" s="9"/>
      <c r="C5" s="10" t="s">
        <v>102</v>
      </c>
      <c r="D5" s="10">
        <v>1280466.3</v>
      </c>
      <c r="E5" s="10">
        <v>1194208.116</v>
      </c>
      <c r="F5" s="10">
        <v>1534153.859</v>
      </c>
      <c r="G5" s="10">
        <v>1291011.863</v>
      </c>
      <c r="H5" s="10">
        <v>1388758.72</v>
      </c>
      <c r="I5" s="10">
        <v>1520638.78</v>
      </c>
      <c r="J5" s="10">
        <v>2180425.9</v>
      </c>
      <c r="K5" s="10">
        <v>2694977.961</v>
      </c>
      <c r="L5" s="10">
        <v>2798274.57</v>
      </c>
      <c r="M5" s="10">
        <v>2222552.84</v>
      </c>
      <c r="N5" s="10">
        <v>2097398.112</v>
      </c>
      <c r="O5" s="10">
        <v>3349813.2</v>
      </c>
      <c r="P5" s="11">
        <f>SUM(D5:O5)</f>
        <v>23552680.221</v>
      </c>
    </row>
    <row r="6" s="1" customFormat="1" ht="22" customHeight="1" spans="2:16">
      <c r="B6" s="9"/>
      <c r="C6" s="10" t="s">
        <v>101</v>
      </c>
      <c r="D6" s="10">
        <v>3437599.3</v>
      </c>
      <c r="E6" s="10">
        <v>921263.4</v>
      </c>
      <c r="F6" s="10">
        <v>1956623</v>
      </c>
      <c r="G6" s="10">
        <v>2262177.96</v>
      </c>
      <c r="H6" s="10">
        <v>2415638.4</v>
      </c>
      <c r="I6" s="10">
        <v>2543097</v>
      </c>
      <c r="J6" s="10"/>
      <c r="K6" s="10"/>
      <c r="L6" s="10"/>
      <c r="M6" s="10"/>
      <c r="N6" s="10"/>
      <c r="O6" s="10"/>
      <c r="P6" s="11">
        <f>SUM(D6:O6)</f>
        <v>13536399.06</v>
      </c>
    </row>
    <row r="7" s="1" customFormat="1" ht="22" customHeight="1" spans="2:16">
      <c r="B7" s="12"/>
      <c r="C7" s="13" t="s">
        <v>197</v>
      </c>
      <c r="D7" s="14">
        <f>(D6-D5)/D5</f>
        <v>1.68464644481467</v>
      </c>
      <c r="E7" s="15">
        <f t="shared" ref="E7:P7" si="0">(E6-E5)/E5</f>
        <v>-0.228557076729832</v>
      </c>
      <c r="F7" s="14">
        <f t="shared" si="0"/>
        <v>0.275375992128571</v>
      </c>
      <c r="G7" s="14">
        <f t="shared" si="0"/>
        <v>0.752251876867533</v>
      </c>
      <c r="H7" s="14">
        <f t="shared" si="0"/>
        <v>0.739422669475659</v>
      </c>
      <c r="I7" s="14">
        <f t="shared" si="0"/>
        <v>0.672387310811579</v>
      </c>
      <c r="J7" s="14">
        <f t="shared" si="0"/>
        <v>-1</v>
      </c>
      <c r="K7" s="14">
        <f t="shared" si="0"/>
        <v>-1</v>
      </c>
      <c r="L7" s="14">
        <f t="shared" si="0"/>
        <v>-1</v>
      </c>
      <c r="M7" s="14">
        <f t="shared" si="0"/>
        <v>-1</v>
      </c>
      <c r="N7" s="14">
        <f t="shared" si="0"/>
        <v>-1</v>
      </c>
      <c r="O7" s="14">
        <f t="shared" si="0"/>
        <v>-1</v>
      </c>
      <c r="P7" s="16">
        <f t="shared" si="0"/>
        <v>-0.425271394466151</v>
      </c>
    </row>
    <row r="8" s="1" customFormat="1" ht="18" customHeight="1" spans="2:16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</row>
    <row r="9" s="1" customFormat="1" ht="30" customHeight="1" spans="2:16">
      <c r="B9" s="2" t="s">
        <v>198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="1" customFormat="1" ht="16" customHeight="1" spans="2:16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4" t="s">
        <v>183</v>
      </c>
    </row>
    <row r="11" s="1" customFormat="1" ht="45" customHeight="1" spans="2:16">
      <c r="B11" s="5" t="s">
        <v>199</v>
      </c>
      <c r="C11" s="6" t="s">
        <v>184</v>
      </c>
      <c r="D11" s="7" t="s">
        <v>185</v>
      </c>
      <c r="E11" s="7" t="s">
        <v>186</v>
      </c>
      <c r="F11" s="7" t="s">
        <v>187</v>
      </c>
      <c r="G11" s="7" t="s">
        <v>188</v>
      </c>
      <c r="H11" s="7" t="s">
        <v>189</v>
      </c>
      <c r="I11" s="7" t="s">
        <v>190</v>
      </c>
      <c r="J11" s="7" t="s">
        <v>191</v>
      </c>
      <c r="K11" s="7" t="s">
        <v>192</v>
      </c>
      <c r="L11" s="7" t="s">
        <v>193</v>
      </c>
      <c r="M11" s="7" t="s">
        <v>194</v>
      </c>
      <c r="N11" s="7" t="s">
        <v>195</v>
      </c>
      <c r="O11" s="7" t="s">
        <v>196</v>
      </c>
      <c r="P11" s="8" t="s">
        <v>68</v>
      </c>
    </row>
    <row r="12" s="1" customFormat="1" ht="21" customHeight="1" spans="2:16">
      <c r="B12" s="18" t="s">
        <v>200</v>
      </c>
      <c r="C12" s="10" t="s">
        <v>180</v>
      </c>
      <c r="D12" s="10">
        <f>D4-D16</f>
        <v>2179093.4</v>
      </c>
      <c r="E12" s="10">
        <f t="shared" ref="E12:O12" si="1">E4-E16</f>
        <v>570391.9</v>
      </c>
      <c r="F12" s="10">
        <f t="shared" si="1"/>
        <v>1455403.86</v>
      </c>
      <c r="G12" s="10">
        <f t="shared" si="1"/>
        <v>1290093.4</v>
      </c>
      <c r="H12" s="10">
        <f t="shared" si="1"/>
        <v>906693.2</v>
      </c>
      <c r="I12" s="10">
        <f t="shared" si="1"/>
        <v>1233581.6</v>
      </c>
      <c r="J12" s="10">
        <f t="shared" si="1"/>
        <v>1625911.84</v>
      </c>
      <c r="K12" s="10">
        <f t="shared" si="1"/>
        <v>1321195.2</v>
      </c>
      <c r="L12" s="10">
        <f t="shared" si="1"/>
        <v>1427019.6</v>
      </c>
      <c r="M12" s="10">
        <f t="shared" si="1"/>
        <v>1438143.8</v>
      </c>
      <c r="N12" s="10">
        <f t="shared" si="1"/>
        <v>1679563.251</v>
      </c>
      <c r="O12" s="10">
        <f t="shared" si="1"/>
        <v>2134745.9</v>
      </c>
      <c r="P12" s="11">
        <f>SUM(D12:O12)</f>
        <v>17261836.951</v>
      </c>
    </row>
    <row r="13" s="1" customFormat="1" ht="21" customHeight="1" spans="2:16">
      <c r="B13" s="18"/>
      <c r="C13" s="10" t="s">
        <v>102</v>
      </c>
      <c r="D13" s="10">
        <f>D5-D17</f>
        <v>1280466.3</v>
      </c>
      <c r="E13" s="10">
        <f t="shared" ref="E13:O13" si="2">E5-E17</f>
        <v>1188928.116</v>
      </c>
      <c r="F13" s="10">
        <f t="shared" si="2"/>
        <v>1527769.859</v>
      </c>
      <c r="G13" s="10">
        <f t="shared" si="2"/>
        <v>1283811.863</v>
      </c>
      <c r="H13" s="10">
        <f t="shared" si="2"/>
        <v>1387606.72</v>
      </c>
      <c r="I13" s="10">
        <f t="shared" si="2"/>
        <v>1516966.78</v>
      </c>
      <c r="J13" s="10">
        <f t="shared" si="2"/>
        <v>2177122.7</v>
      </c>
      <c r="K13" s="10">
        <f t="shared" si="2"/>
        <v>2694401.961</v>
      </c>
      <c r="L13" s="10">
        <f t="shared" si="2"/>
        <v>2759181.77</v>
      </c>
      <c r="M13" s="10">
        <f t="shared" si="2"/>
        <v>2211032.84</v>
      </c>
      <c r="N13" s="10">
        <f t="shared" si="2"/>
        <v>1999938.912</v>
      </c>
      <c r="O13" s="10">
        <f t="shared" si="2"/>
        <v>3196770.8</v>
      </c>
      <c r="P13" s="11">
        <f>SUM(D13:O13)</f>
        <v>23223998.621</v>
      </c>
    </row>
    <row r="14" s="1" customFormat="1" ht="21" customHeight="1" spans="2:16">
      <c r="B14" s="18"/>
      <c r="C14" s="10" t="s">
        <v>101</v>
      </c>
      <c r="D14" s="10">
        <f>D6-D18</f>
        <v>3083530.5</v>
      </c>
      <c r="E14" s="10">
        <f t="shared" ref="E14:O14" si="3">E6-E18</f>
        <v>914063.4</v>
      </c>
      <c r="F14" s="10">
        <f t="shared" si="3"/>
        <v>1703701.4</v>
      </c>
      <c r="G14" s="10">
        <f t="shared" si="3"/>
        <v>2025441.96</v>
      </c>
      <c r="H14" s="10">
        <f t="shared" si="3"/>
        <v>2411760</v>
      </c>
      <c r="I14" s="10">
        <f t="shared" si="3"/>
        <v>2041047</v>
      </c>
      <c r="J14" s="10">
        <f t="shared" si="3"/>
        <v>0</v>
      </c>
      <c r="K14" s="10">
        <f t="shared" si="3"/>
        <v>0</v>
      </c>
      <c r="L14" s="10">
        <f t="shared" si="3"/>
        <v>0</v>
      </c>
      <c r="M14" s="10">
        <f t="shared" si="3"/>
        <v>0</v>
      </c>
      <c r="N14" s="10">
        <f t="shared" si="3"/>
        <v>0</v>
      </c>
      <c r="O14" s="10">
        <f t="shared" si="3"/>
        <v>0</v>
      </c>
      <c r="P14" s="11">
        <f>SUM(D14:O14)</f>
        <v>12179544.26</v>
      </c>
    </row>
    <row r="15" s="1" customFormat="1" ht="21" customHeight="1" spans="2:16">
      <c r="B15" s="19"/>
      <c r="C15" s="13" t="s">
        <v>197</v>
      </c>
      <c r="D15" s="14">
        <f t="shared" ref="D15:P15" si="4">(D14-D13)/D13</f>
        <v>1.40813092855314</v>
      </c>
      <c r="E15" s="15">
        <f t="shared" si="4"/>
        <v>-0.231186992973762</v>
      </c>
      <c r="F15" s="14">
        <f t="shared" si="4"/>
        <v>0.115155787348204</v>
      </c>
      <c r="G15" s="14">
        <f t="shared" si="4"/>
        <v>0.577678177289128</v>
      </c>
      <c r="H15" s="14">
        <f t="shared" si="4"/>
        <v>0.738071721070939</v>
      </c>
      <c r="I15" s="14">
        <f t="shared" si="4"/>
        <v>0.345479035473671</v>
      </c>
      <c r="J15" s="14">
        <f t="shared" si="4"/>
        <v>-1</v>
      </c>
      <c r="K15" s="14">
        <f t="shared" si="4"/>
        <v>-1</v>
      </c>
      <c r="L15" s="14">
        <f t="shared" si="4"/>
        <v>-1</v>
      </c>
      <c r="M15" s="14">
        <f t="shared" si="4"/>
        <v>-1</v>
      </c>
      <c r="N15" s="14">
        <f t="shared" si="4"/>
        <v>-1</v>
      </c>
      <c r="O15" s="14">
        <f t="shared" si="4"/>
        <v>-1</v>
      </c>
      <c r="P15" s="16">
        <f t="shared" si="4"/>
        <v>-0.475562134722709</v>
      </c>
    </row>
    <row r="16" s="1" customFormat="1" ht="21" customHeight="1" spans="2:16">
      <c r="B16" s="20" t="s">
        <v>201</v>
      </c>
      <c r="C16" s="10" t="s">
        <v>180</v>
      </c>
      <c r="D16" s="10">
        <v>7200</v>
      </c>
      <c r="E16" s="10">
        <v>0</v>
      </c>
      <c r="F16" s="10">
        <v>1000</v>
      </c>
      <c r="G16" s="10">
        <v>0</v>
      </c>
      <c r="H16" s="10">
        <v>4806.4</v>
      </c>
      <c r="I16" s="10">
        <v>3792</v>
      </c>
      <c r="J16" s="10">
        <v>13204.8</v>
      </c>
      <c r="K16" s="10">
        <v>2652.8</v>
      </c>
      <c r="L16" s="10">
        <v>19582.4</v>
      </c>
      <c r="M16" s="10">
        <v>9926.4</v>
      </c>
      <c r="N16" s="10">
        <v>21280</v>
      </c>
      <c r="O16" s="10">
        <v>0</v>
      </c>
      <c r="P16" s="11">
        <f>SUM(D16:O16)</f>
        <v>83444.8</v>
      </c>
    </row>
    <row r="17" s="1" customFormat="1" ht="21" customHeight="1" spans="2:16">
      <c r="B17" s="20"/>
      <c r="C17" s="10" t="s">
        <v>102</v>
      </c>
      <c r="D17" s="10"/>
      <c r="E17" s="10">
        <v>5280</v>
      </c>
      <c r="F17" s="10">
        <v>6384</v>
      </c>
      <c r="G17" s="10">
        <v>7200</v>
      </c>
      <c r="H17" s="10">
        <v>1152</v>
      </c>
      <c r="I17" s="10">
        <v>3672</v>
      </c>
      <c r="J17" s="10">
        <v>3303.2</v>
      </c>
      <c r="K17" s="10">
        <v>576</v>
      </c>
      <c r="L17" s="10">
        <v>39092.8</v>
      </c>
      <c r="M17" s="10">
        <v>11520</v>
      </c>
      <c r="N17" s="10">
        <v>97459.2</v>
      </c>
      <c r="O17" s="10">
        <v>153042.4</v>
      </c>
      <c r="P17" s="11">
        <f>SUM(D17:O17)</f>
        <v>328681.6</v>
      </c>
    </row>
    <row r="18" s="1" customFormat="1" ht="21" customHeight="1" spans="2:16">
      <c r="B18" s="20"/>
      <c r="C18" s="10" t="s">
        <v>101</v>
      </c>
      <c r="D18" s="10">
        <v>354068.8</v>
      </c>
      <c r="E18" s="10">
        <v>7200</v>
      </c>
      <c r="F18" s="10">
        <v>252921.6</v>
      </c>
      <c r="G18" s="10">
        <v>236736</v>
      </c>
      <c r="H18" s="10">
        <v>3878.4</v>
      </c>
      <c r="I18" s="10">
        <v>502050</v>
      </c>
      <c r="J18" s="10"/>
      <c r="K18" s="10"/>
      <c r="L18" s="10"/>
      <c r="M18" s="10"/>
      <c r="N18" s="10"/>
      <c r="O18" s="10"/>
      <c r="P18" s="11">
        <f>SUM(D18:O18)</f>
        <v>1356854.8</v>
      </c>
    </row>
    <row r="19" s="1" customFormat="1" ht="21" customHeight="1" spans="2:16">
      <c r="B19" s="21"/>
      <c r="C19" s="13" t="s">
        <v>197</v>
      </c>
      <c r="D19" s="14" t="e">
        <f>(D18-D17)/D17</f>
        <v>#DIV/0!</v>
      </c>
      <c r="E19" s="14">
        <f t="shared" ref="D19:P19" si="5">(E18-E17)/E17</f>
        <v>0.363636363636364</v>
      </c>
      <c r="F19" s="14">
        <f t="shared" si="5"/>
        <v>38.618045112782</v>
      </c>
      <c r="G19" s="14">
        <f t="shared" si="5"/>
        <v>31.88</v>
      </c>
      <c r="H19" s="14">
        <f t="shared" si="5"/>
        <v>2.36666666666667</v>
      </c>
      <c r="I19" s="14">
        <f t="shared" si="5"/>
        <v>135.72385620915</v>
      </c>
      <c r="J19" s="14">
        <f t="shared" si="5"/>
        <v>-1</v>
      </c>
      <c r="K19" s="14">
        <f t="shared" si="5"/>
        <v>-1</v>
      </c>
      <c r="L19" s="14">
        <f t="shared" si="5"/>
        <v>-1</v>
      </c>
      <c r="M19" s="14">
        <f t="shared" si="5"/>
        <v>-1</v>
      </c>
      <c r="N19" s="14">
        <f t="shared" si="5"/>
        <v>-1</v>
      </c>
      <c r="O19" s="14">
        <f t="shared" si="5"/>
        <v>-1</v>
      </c>
      <c r="P19" s="16">
        <f t="shared" si="5"/>
        <v>3.12817389230185</v>
      </c>
    </row>
    <row r="20" s="1" customFormat="1" ht="20" customHeight="1" spans="2:16">
      <c r="B20" s="22" t="s">
        <v>202</v>
      </c>
    </row>
  </sheetData>
  <mergeCells count="6">
    <mergeCell ref="B1:P1"/>
    <mergeCell ref="B2:F2"/>
    <mergeCell ref="B9:P9"/>
    <mergeCell ref="B4:B7"/>
    <mergeCell ref="B12:B15"/>
    <mergeCell ref="B16:B19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1）年度指标达成情况</vt:lpstr>
      <vt:lpstr>2）过程指标（月度绩效）达成情况</vt:lpstr>
      <vt:lpstr>3）过程同比分析</vt:lpstr>
      <vt:lpstr>4）销售拓展部2025年前30客户</vt:lpstr>
      <vt:lpstr>5）销售拓展部近三年销售数据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86134</dc:creator>
  <cp:lastModifiedBy>LV²</cp:lastModifiedBy>
  <dcterms:created xsi:type="dcterms:W3CDTF">2023-12-05T00:14:00Z</dcterms:created>
  <dcterms:modified xsi:type="dcterms:W3CDTF">2026-07-02T12:18:00Z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FD64C10F98F444ECAD579335885228BF_13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